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065" activeTab="2"/>
  </bookViews>
  <sheets>
    <sheet name="реєстрація" sheetId="1" r:id="rId1"/>
    <sheet name="розг. оцінка" sheetId="2" r:id="rId2"/>
    <sheet name="по областям" sheetId="3" r:id="rId3"/>
    <sheet name="зведений" sheetId="4" r:id="rId4"/>
    <sheet name="види" sheetId="5" r:id="rId5"/>
    <sheet name="Лист1" sheetId="6" r:id="rId6"/>
  </sheets>
  <definedNames>
    <definedName name="_xlnm.Print_Area" localSheetId="4">'види'!$A$1:$S$33</definedName>
    <definedName name="_xlnm.Print_Area" localSheetId="3">'зведений'!$A$1:$M$21</definedName>
    <definedName name="_xlnm.Print_Area" localSheetId="2">'по областям'!$A$1:$O$31</definedName>
  </definedNames>
  <calcPr fullCalcOnLoad="1"/>
</workbook>
</file>

<file path=xl/sharedStrings.xml><?xml version="1.0" encoding="utf-8"?>
<sst xmlns="http://schemas.openxmlformats.org/spreadsheetml/2006/main" count="453" uniqueCount="249">
  <si>
    <t>Номер</t>
  </si>
  <si>
    <t>Регіон</t>
  </si>
  <si>
    <t>Назва закладу, який проводив похід</t>
  </si>
  <si>
    <t>Керівник походу</t>
  </si>
  <si>
    <t>Вид туризму</t>
  </si>
  <si>
    <t>Категорія (ступінь) складності</t>
  </si>
  <si>
    <t>Район проведення</t>
  </si>
  <si>
    <t>Кількість участников</t>
  </si>
  <si>
    <t>Середній бал</t>
  </si>
  <si>
    <t>е-версія</t>
  </si>
  <si>
    <t>Коефіціент</t>
  </si>
  <si>
    <t>Оцінка з коефіціентом</t>
  </si>
  <si>
    <t>Примітка</t>
  </si>
  <si>
    <t>Номер звіту</t>
  </si>
  <si>
    <t>Номер регистрации отчета</t>
  </si>
  <si>
    <t>Вид туризма</t>
  </si>
  <si>
    <t>К.с.</t>
  </si>
  <si>
    <t>Суддя</t>
  </si>
  <si>
    <t>№ судді</t>
  </si>
  <si>
    <t>1.1.1</t>
  </si>
  <si>
    <t>1.1.2</t>
  </si>
  <si>
    <t>1.1.3</t>
  </si>
  <si>
    <t>1.1.4</t>
  </si>
  <si>
    <t>1.1.5</t>
  </si>
  <si>
    <t>1.1.6</t>
  </si>
  <si>
    <t>1.1.7</t>
  </si>
  <si>
    <t>Разом штрафу</t>
  </si>
  <si>
    <t>1.2.1</t>
  </si>
  <si>
    <t>1.2.2</t>
  </si>
  <si>
    <t>1.2.3</t>
  </si>
  <si>
    <t>1.2.4</t>
  </si>
  <si>
    <t>1.2.5</t>
  </si>
  <si>
    <t>1.2.6</t>
  </si>
  <si>
    <t>1.2.7</t>
  </si>
  <si>
    <t>Разом заохочувальних</t>
  </si>
  <si>
    <t>Разом тактична побудова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</si>
  <si>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</si>
  <si>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</si>
  <si>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</si>
  <si>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</si>
  <si>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</si>
  <si>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</si>
  <si>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</si>
  <si>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</si>
  <si>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</si>
  <si>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</si>
  <si>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</si>
  <si>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Разом штрафів</t>
  </si>
  <si>
    <t>2.2.1</t>
  </si>
  <si>
    <t>2.2.2</t>
  </si>
  <si>
    <t>2.2.3</t>
  </si>
  <si>
    <t>2.2.4</t>
  </si>
  <si>
    <t>Разом тактичне виконання</t>
  </si>
  <si>
    <t>3.1.1</t>
  </si>
  <si>
    <t>3.2.1</t>
  </si>
  <si>
    <t>3.2.2</t>
  </si>
  <si>
    <t>3.2.3</t>
  </si>
  <si>
    <t>Разом технічна складність</t>
  </si>
  <si>
    <t>4.1.1</t>
  </si>
  <si>
    <t>4.1.2</t>
  </si>
  <si>
    <t>4.1.3</t>
  </si>
  <si>
    <t>4.1.4</t>
  </si>
  <si>
    <t>4.1.5</t>
  </si>
  <si>
    <t>4.1.6</t>
  </si>
  <si>
    <t>4.1.7</t>
  </si>
  <si>
    <t>Разом штрафи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</si>
  <si>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</si>
  <si>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</si>
  <si>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</si>
  <si>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</si>
  <si>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</si>
  <si>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</si>
  <si>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</si>
  <si>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</si>
  <si>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</si>
  <si>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</si>
  <si>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Разом технічне проходження</t>
  </si>
  <si>
    <t>5.1.1</t>
  </si>
  <si>
    <t>5.1.2</t>
  </si>
  <si>
    <t>5.1.3</t>
  </si>
  <si>
    <t>5.1.4</t>
  </si>
  <si>
    <t>5.1.5</t>
  </si>
  <si>
    <t>5.1.6.</t>
  </si>
  <si>
    <t>5.1.7</t>
  </si>
  <si>
    <t>5.1.8</t>
  </si>
  <si>
    <t>5.1.9</t>
  </si>
  <si>
    <t>5.1.10</t>
  </si>
  <si>
    <t>5.1.11</t>
  </si>
  <si>
    <t>5.1.12</t>
  </si>
  <si>
    <t>5.2.1</t>
  </si>
  <si>
    <t>5.2.2</t>
  </si>
  <si>
    <t>Разом оформлення звіту</t>
  </si>
  <si>
    <t>Загальна оцінка</t>
  </si>
  <si>
    <t>Загальна оцінка 1</t>
  </si>
  <si>
    <t>Загальна оцінка 2</t>
  </si>
  <si>
    <t>Загальна оцінка 3</t>
  </si>
  <si>
    <t>Загальна оцінка 4</t>
  </si>
  <si>
    <t>УКРАЇНСЬКИЙ ДЕРЖАВНИЙ ЦЕНТР ТУРИЗМУ І КРАЄЗНАВСТВА УЧНІВСЬКОЇ МОЛОДІ</t>
  </si>
  <si>
    <t>м. Київ</t>
  </si>
  <si>
    <t>№ звіту</t>
  </si>
  <si>
    <t>Район проведення походу</t>
  </si>
  <si>
    <t>Кількість учасників</t>
  </si>
  <si>
    <t>Оцінка 1</t>
  </si>
  <si>
    <t>Оцінка 2</t>
  </si>
  <si>
    <t>Оцінка 3</t>
  </si>
  <si>
    <t>Оцінка 4</t>
  </si>
  <si>
    <t>шифр регіона</t>
  </si>
  <si>
    <t>Місце</t>
  </si>
  <si>
    <t>Велосипедний 1 к.с. - 1 звіт</t>
  </si>
  <si>
    <t>Головний суддя</t>
  </si>
  <si>
    <t>Матюшков О.С.</t>
  </si>
  <si>
    <t>Головной секретар</t>
  </si>
  <si>
    <t>ПІДСУМКОВИЙ ПРОТОКОЛ (по областям)</t>
  </si>
  <si>
    <t>Дніпропетровська - 1 звіт</t>
  </si>
  <si>
    <t>Кіровоградська - 2 звіти</t>
  </si>
  <si>
    <t>Сумська - 1 звіт</t>
  </si>
  <si>
    <t>Закарпатська - 1 звіт</t>
  </si>
  <si>
    <t>МІНІСТЕРСТВО ОСВІТИ І НАУКИ УКРАЇНИ</t>
  </si>
  <si>
    <t>ЗВЕДЕНИЙ ПРОТОКОЛ</t>
  </si>
  <si>
    <t>№</t>
  </si>
  <si>
    <t>Пішохідний</t>
  </si>
  <si>
    <t>Водний</t>
  </si>
  <si>
    <t>Сума</t>
  </si>
  <si>
    <t>Шифр региона</t>
  </si>
  <si>
    <t>Кіровоградська</t>
  </si>
  <si>
    <t>Запорізька</t>
  </si>
  <si>
    <t>Хмельницька</t>
  </si>
  <si>
    <t>Сумська</t>
  </si>
  <si>
    <t>Миколаївська</t>
  </si>
  <si>
    <t>Дніпропетровська</t>
  </si>
  <si>
    <t>Закарпатська</t>
  </si>
  <si>
    <t>Спелео</t>
  </si>
  <si>
    <t>Результат</t>
  </si>
  <si>
    <t>І</t>
  </si>
  <si>
    <t>Всього учасників:</t>
  </si>
  <si>
    <t>ПІДСУМКОВИЙ ПРОТОКОЛ (по видам спортивного туризму та категоріям складності)</t>
  </si>
  <si>
    <t>Домаранський Андрій Олександрович</t>
  </si>
  <si>
    <t>Кумпан Анатолій Анатолійович</t>
  </si>
  <si>
    <t xml:space="preserve">пішохідний </t>
  </si>
  <si>
    <t>Карпати</t>
  </si>
  <si>
    <t>І к.с.</t>
  </si>
  <si>
    <t>КЗ "Навчально-виховний комплекс № 6 "Перспектива" м.Жовті Води</t>
  </si>
  <si>
    <t>Полохін Володимир Геннадійович</t>
  </si>
  <si>
    <t>авто-мото</t>
  </si>
  <si>
    <t>КЗ "Обласний центр позашкільної освіти та роботи з талановитою молоддю "</t>
  </si>
  <si>
    <t>Центр дитячої та юнацької творчості Хмельницького району</t>
  </si>
  <si>
    <t>Мельник Інна Віталіївна</t>
  </si>
  <si>
    <t>Кам'янець-Подільський міський осередок Федераціїспортивного туризму України</t>
  </si>
  <si>
    <t>Логуш Ірина Михайлівна</t>
  </si>
  <si>
    <t>Центр туризму,краєзнавства та екскурсій учнівської молоді</t>
  </si>
  <si>
    <t>Овсяннікова Олена Вікторівна</t>
  </si>
  <si>
    <t>Трощенко Володимир Олександрович</t>
  </si>
  <si>
    <t>велосипедний</t>
  </si>
  <si>
    <t>Миколаївська обл.</t>
  </si>
  <si>
    <t>Закарпатський  центр туризму,краєзнавства,екскурсій та спорту учнівської молоді</t>
  </si>
  <si>
    <t xml:space="preserve">Свирид Дмитро Володимирович </t>
  </si>
  <si>
    <t>КЗ "Центр туризму" ЗОР</t>
  </si>
  <si>
    <t>Некрасов Сергій Андрійович</t>
  </si>
  <si>
    <t>водний</t>
  </si>
  <si>
    <t>р.Орель</t>
  </si>
  <si>
    <t>Микалюк Світлана Миколаївна</t>
  </si>
  <si>
    <t>Болгарія</t>
  </si>
  <si>
    <t>спелео</t>
  </si>
  <si>
    <t>КЗ "Центр туризму" ЗОР Приморський відділ</t>
  </si>
  <si>
    <t>КЗ "Центр туризму"ЗОР</t>
  </si>
  <si>
    <t>Запорізький національний університет</t>
  </si>
  <si>
    <t>Пиптюк Павло Федорович</t>
  </si>
  <si>
    <t>КЗ "Запорізький обласний центр туризму і краєзнавства,спорту та екскурсій учнівської молоді"</t>
  </si>
  <si>
    <t>Кроль Владислав Володимирович</t>
  </si>
  <si>
    <t>ІІ к.с.</t>
  </si>
  <si>
    <t>ІІІ к.с.</t>
  </si>
  <si>
    <t xml:space="preserve">ІІ к.с. </t>
  </si>
  <si>
    <t xml:space="preserve">ІІІ к.с. </t>
  </si>
  <si>
    <t>Усього: 15 звітів</t>
  </si>
  <si>
    <t>Бацман Жанна Григорівна</t>
  </si>
  <si>
    <t>10-13 березня 2016 р.</t>
  </si>
  <si>
    <t>10-13 березня 2016р.</t>
  </si>
  <si>
    <t xml:space="preserve">І к.с. </t>
  </si>
  <si>
    <t>1с</t>
  </si>
  <si>
    <t>2с</t>
  </si>
  <si>
    <t>3с</t>
  </si>
  <si>
    <t>4с</t>
  </si>
  <si>
    <t>5с</t>
  </si>
  <si>
    <t>6с</t>
  </si>
  <si>
    <t>7с</t>
  </si>
  <si>
    <t>8с</t>
  </si>
  <si>
    <t>9с</t>
  </si>
  <si>
    <t>10с</t>
  </si>
  <si>
    <t>11с</t>
  </si>
  <si>
    <t>12с</t>
  </si>
  <si>
    <t>13с</t>
  </si>
  <si>
    <t>14с</t>
  </si>
  <si>
    <t>15с</t>
  </si>
  <si>
    <t>диск не відкривається</t>
  </si>
  <si>
    <t xml:space="preserve">Наровлянський </t>
  </si>
  <si>
    <t>Наровлянська</t>
  </si>
  <si>
    <t>Липак</t>
  </si>
  <si>
    <t>Ігнатьєва</t>
  </si>
  <si>
    <t>Романишин</t>
  </si>
  <si>
    <t>Запорізька - 6 звітів</t>
  </si>
  <si>
    <t>Миколаївська - 2 звіти</t>
  </si>
  <si>
    <t>Хмельницька - 2 звіти</t>
  </si>
  <si>
    <t>ВСЕУКРАЇНСЬКІ ЗМАГАННЯ З ТУРИСТСЬКИХ СПОРТИВНИХ  ПОХОДІВ СЕРЕД СТУДЕНТСЬКОЇ МОЛОДІ ЗА 2014-2015н.р.</t>
  </si>
  <si>
    <t>Дніпропетровська обл.</t>
  </si>
  <si>
    <t>р.р.Серет, Дністер</t>
  </si>
  <si>
    <t>р.р.Тиса, Ч.Тиса</t>
  </si>
  <si>
    <t>р. П.Буг</t>
  </si>
  <si>
    <t xml:space="preserve"> </t>
  </si>
  <si>
    <t xml:space="preserve">ВСЕУКРАЇНСЬКІ ЗМАГАННЯ З ТУРИСТСЬКИХ СПОРТИВНИХ  ПОХОДІВ </t>
  </si>
  <si>
    <t>СЕРЕД СТУДЕНТСЬКОЇ МОЛОДІ ЗА 2014-2015н.р.</t>
  </si>
  <si>
    <t>Вело</t>
  </si>
  <si>
    <t>Авто-мото</t>
  </si>
  <si>
    <t>Пішохідний 1 к.с. -2 звіти</t>
  </si>
  <si>
    <t>Пішохідний 2 к.с. - 3 звіти</t>
  </si>
  <si>
    <t>Водний 1 к.с - 4 звіти</t>
  </si>
  <si>
    <t>Водний 2 к.с. - 1 звіт</t>
  </si>
  <si>
    <t>Пішохідний 3 к.с. - 2 звіти</t>
  </si>
  <si>
    <t>Спелео 3 с.с. - 1 звіт</t>
  </si>
  <si>
    <t>Авто-мото 1 к.с. - 1 звіт</t>
  </si>
  <si>
    <t>Третяченко Олександр Сергійович</t>
  </si>
  <si>
    <t>1 с.с.</t>
  </si>
  <si>
    <t>Тернопільська обл.</t>
  </si>
  <si>
    <t>Кукуруза І.Ф.</t>
  </si>
  <si>
    <t>Брагіна Л.В.</t>
  </si>
  <si>
    <t>Губенко</t>
  </si>
  <si>
    <t>Горбонос-Андронова</t>
  </si>
  <si>
    <t>Губенко В.І.</t>
  </si>
  <si>
    <t>Мороз М.В.</t>
  </si>
  <si>
    <t>Мараховский С.О.</t>
  </si>
  <si>
    <t>Мелимука В.В.</t>
  </si>
  <si>
    <t>Кондратенко Д.Є.</t>
  </si>
  <si>
    <t>Федорченко І.І.</t>
  </si>
  <si>
    <t>Гатич І.Д.</t>
  </si>
  <si>
    <t>Брус М.Д.</t>
  </si>
  <si>
    <t>Нікулін В.О.</t>
  </si>
  <si>
    <t>Рибачок В.І.</t>
  </si>
  <si>
    <t>Крупко М.Ф,</t>
  </si>
  <si>
    <t>Колотуха О.В.</t>
  </si>
  <si>
    <t>Кіровоградський державний педагогічний університет ім.В.Вінниченка</t>
  </si>
  <si>
    <t>ІІ</t>
  </si>
  <si>
    <t>ІІІ</t>
  </si>
  <si>
    <t>Кононова А.А.</t>
  </si>
  <si>
    <t>Запорізька область</t>
  </si>
  <si>
    <t>Миколаївська область</t>
  </si>
  <si>
    <t>Кіровоградська область</t>
  </si>
  <si>
    <t>Хмельницька область</t>
  </si>
  <si>
    <t>Сумська область</t>
  </si>
  <si>
    <t>Дніпропетровська область</t>
  </si>
  <si>
    <t>Закарпатська область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</si>
</sst>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b/>
      <sz val="10"/>
      <color indexed="10"/>
      <name val="Times New Roman"/>
      <family val="1"/>
    </font>
    <font>
      <b/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49" fontId="9" fillId="0" borderId="10" xfId="0" applyNumberFormat="1" applyFont="1" applyFill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49" fontId="11" fillId="0" borderId="10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2" fontId="16" fillId="0" borderId="10" xfId="0" applyNumberFormat="1" applyFont="1" applyBorder="1" applyAlignment="1">
      <alignment horizontal="center" vertical="center" textRotation="90" wrapText="1"/>
    </xf>
    <xf numFmtId="0" fontId="16" fillId="0" borderId="0" xfId="0" applyFont="1" applyFill="1" applyAlignment="1">
      <alignment vertical="center"/>
    </xf>
    <xf numFmtId="0" fontId="16" fillId="0" borderId="0" xfId="0" applyFont="1" applyBorder="1" applyAlignment="1">
      <alignment vertical="center" wrapText="1"/>
    </xf>
    <xf numFmtId="49" fontId="16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164" fontId="18" fillId="0" borderId="10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1" fontId="12" fillId="0" borderId="0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6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22" fillId="0" borderId="0" xfId="0" applyFont="1" applyFill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164" fontId="14" fillId="0" borderId="10" xfId="42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>
      <alignment horizontal="left" vertical="center" wrapText="1"/>
    </xf>
    <xf numFmtId="164" fontId="14" fillId="0" borderId="16" xfId="42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>
      <alignment horizontal="left" vertical="center" wrapText="1"/>
    </xf>
    <xf numFmtId="164" fontId="14" fillId="0" borderId="0" xfId="42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center" wrapText="1"/>
    </xf>
    <xf numFmtId="164" fontId="12" fillId="0" borderId="10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center" wrapText="1"/>
    </xf>
    <xf numFmtId="0" fontId="12" fillId="32" borderId="10" xfId="0" applyFont="1" applyFill="1" applyBorder="1" applyAlignment="1">
      <alignment horizontal="center" vertical="center" wrapText="1"/>
    </xf>
    <xf numFmtId="1" fontId="12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1" fontId="21" fillId="32" borderId="1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left" vertical="center"/>
    </xf>
    <xf numFmtId="0" fontId="12" fillId="32" borderId="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" fontId="3" fillId="32" borderId="10" xfId="0" applyNumberFormat="1" applyFont="1" applyFill="1" applyBorder="1" applyAlignment="1">
      <alignment horizontal="center" vertical="center"/>
    </xf>
    <xf numFmtId="0" fontId="12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center"/>
    </xf>
    <xf numFmtId="49" fontId="11" fillId="32" borderId="0" xfId="0" applyNumberFormat="1" applyFont="1" applyFill="1" applyBorder="1" applyAlignment="1">
      <alignment horizontal="center" vertical="center" wrapText="1"/>
    </xf>
    <xf numFmtId="0" fontId="7" fillId="32" borderId="10" xfId="0" applyNumberFormat="1" applyFont="1" applyFill="1" applyBorder="1" applyAlignment="1">
      <alignment horizontal="center" vertical="center"/>
    </xf>
    <xf numFmtId="0" fontId="12" fillId="32" borderId="10" xfId="0" applyNumberFormat="1" applyFont="1" applyFill="1" applyBorder="1" applyAlignment="1">
      <alignment horizontal="center" vertical="center"/>
    </xf>
    <xf numFmtId="0" fontId="8" fillId="32" borderId="10" xfId="0" applyNumberFormat="1" applyFont="1" applyFill="1" applyBorder="1" applyAlignment="1">
      <alignment horizontal="center" vertical="center"/>
    </xf>
    <xf numFmtId="0" fontId="9" fillId="32" borderId="10" xfId="0" applyNumberFormat="1" applyFont="1" applyFill="1" applyBorder="1" applyAlignment="1">
      <alignment horizontal="center" vertical="center"/>
    </xf>
    <xf numFmtId="0" fontId="10" fillId="32" borderId="10" xfId="0" applyNumberFormat="1" applyFont="1" applyFill="1" applyBorder="1" applyAlignment="1">
      <alignment horizontal="center" vertical="center" wrapText="1"/>
    </xf>
    <xf numFmtId="0" fontId="11" fillId="32" borderId="10" xfId="0" applyNumberFormat="1" applyFont="1" applyFill="1" applyBorder="1" applyAlignment="1">
      <alignment horizontal="center" vertical="center"/>
    </xf>
    <xf numFmtId="0" fontId="21" fillId="32" borderId="10" xfId="0" applyNumberFormat="1" applyFont="1" applyFill="1" applyBorder="1" applyAlignment="1">
      <alignment horizontal="center" vertical="center"/>
    </xf>
    <xf numFmtId="49" fontId="12" fillId="32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/>
    </xf>
    <xf numFmtId="0" fontId="2" fillId="0" borderId="22" xfId="0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 vertical="center" textRotation="90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horizontal="left" vertical="center" wrapText="1"/>
    </xf>
    <xf numFmtId="164" fontId="12" fillId="0" borderId="17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164" fontId="12" fillId="0" borderId="22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64" fontId="12" fillId="0" borderId="22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64" fontId="12" fillId="0" borderId="17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1" fontId="12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left" vertical="center" wrapText="1"/>
    </xf>
    <xf numFmtId="164" fontId="14" fillId="0" borderId="29" xfId="42" applyNumberFormat="1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Q17"/>
  <sheetViews>
    <sheetView zoomScale="115" zoomScaleNormal="115" zoomScalePageLayoutView="0" workbookViewId="0" topLeftCell="A7">
      <selection activeCell="H17" sqref="H17"/>
    </sheetView>
  </sheetViews>
  <sheetFormatPr defaultColWidth="9.140625" defaultRowHeight="15"/>
  <cols>
    <col min="1" max="1" width="3.421875" style="44" customWidth="1"/>
    <col min="2" max="2" width="15.57421875" style="44" customWidth="1"/>
    <col min="3" max="3" width="39.57421875" style="44" customWidth="1"/>
    <col min="4" max="4" width="31.7109375" style="85" customWidth="1"/>
    <col min="5" max="5" width="12.28125" style="44" customWidth="1"/>
    <col min="6" max="6" width="6.28125" style="45" customWidth="1"/>
    <col min="7" max="7" width="19.421875" style="45" customWidth="1"/>
    <col min="8" max="8" width="4.57421875" style="45" customWidth="1"/>
    <col min="9" max="9" width="5.57421875" style="44" customWidth="1"/>
    <col min="10" max="10" width="5.57421875" style="89" customWidth="1"/>
    <col min="11" max="11" width="5.57421875" style="45" customWidth="1"/>
    <col min="12" max="12" width="5.00390625" style="44" customWidth="1"/>
    <col min="13" max="13" width="9.140625" style="45" customWidth="1"/>
    <col min="14" max="14" width="18.28125" style="44" customWidth="1"/>
    <col min="15" max="16384" width="9.140625" style="44" customWidth="1"/>
  </cols>
  <sheetData>
    <row r="1" spans="1:17" ht="106.5">
      <c r="A1" s="1" t="s">
        <v>13</v>
      </c>
      <c r="B1" s="2" t="s">
        <v>1</v>
      </c>
      <c r="C1" s="3" t="s">
        <v>2</v>
      </c>
      <c r="D1" s="4" t="s">
        <v>3</v>
      </c>
      <c r="E1" s="2" t="s">
        <v>4</v>
      </c>
      <c r="F1" s="1" t="s">
        <v>5</v>
      </c>
      <c r="G1" s="5" t="s">
        <v>6</v>
      </c>
      <c r="H1" s="1" t="s">
        <v>7</v>
      </c>
      <c r="I1" s="1" t="s">
        <v>8</v>
      </c>
      <c r="J1" s="88" t="s">
        <v>9</v>
      </c>
      <c r="K1" s="1" t="s">
        <v>10</v>
      </c>
      <c r="L1" s="1" t="s">
        <v>11</v>
      </c>
      <c r="M1" s="1" t="s">
        <v>0</v>
      </c>
      <c r="N1" s="1" t="s">
        <v>12</v>
      </c>
      <c r="O1" s="11"/>
      <c r="P1" s="11"/>
      <c r="Q1" s="11"/>
    </row>
    <row r="2" spans="1:17" s="84" customFormat="1" ht="27.75" customHeight="1">
      <c r="A2" s="6" t="s">
        <v>178</v>
      </c>
      <c r="B2" s="7" t="s">
        <v>124</v>
      </c>
      <c r="C2" s="8" t="s">
        <v>238</v>
      </c>
      <c r="D2" s="83" t="s">
        <v>136</v>
      </c>
      <c r="E2" s="43" t="s">
        <v>158</v>
      </c>
      <c r="F2" s="16" t="s">
        <v>140</v>
      </c>
      <c r="G2" s="13" t="s">
        <v>206</v>
      </c>
      <c r="H2" s="6">
        <v>12</v>
      </c>
      <c r="I2" s="9"/>
      <c r="J2" s="26">
        <v>3</v>
      </c>
      <c r="K2" s="6"/>
      <c r="L2" s="9"/>
      <c r="M2" s="6" t="str">
        <f>A2</f>
        <v>1с</v>
      </c>
      <c r="N2" s="7"/>
      <c r="O2" s="11"/>
      <c r="P2" s="11"/>
      <c r="Q2" s="11"/>
    </row>
    <row r="3" spans="1:17" s="84" customFormat="1" ht="27.75" customHeight="1">
      <c r="A3" s="6" t="s">
        <v>179</v>
      </c>
      <c r="B3" s="7" t="s">
        <v>124</v>
      </c>
      <c r="C3" s="8" t="s">
        <v>238</v>
      </c>
      <c r="D3" s="10" t="s">
        <v>137</v>
      </c>
      <c r="E3" s="7" t="s">
        <v>138</v>
      </c>
      <c r="F3" s="16" t="s">
        <v>169</v>
      </c>
      <c r="G3" s="14" t="s">
        <v>139</v>
      </c>
      <c r="H3" s="16">
        <v>6</v>
      </c>
      <c r="I3" s="9"/>
      <c r="J3" s="26">
        <v>3</v>
      </c>
      <c r="K3" s="6"/>
      <c r="L3" s="9"/>
      <c r="M3" s="6" t="str">
        <f aca="true" t="shared" si="0" ref="M3:M16">A3</f>
        <v>2с</v>
      </c>
      <c r="N3" s="7"/>
      <c r="O3" s="11"/>
      <c r="P3" s="11"/>
      <c r="Q3" s="11"/>
    </row>
    <row r="4" spans="1:17" s="84" customFormat="1" ht="27.75" customHeight="1">
      <c r="A4" s="6" t="s">
        <v>180</v>
      </c>
      <c r="B4" s="7" t="s">
        <v>129</v>
      </c>
      <c r="C4" s="8" t="s">
        <v>141</v>
      </c>
      <c r="D4" s="10" t="s">
        <v>142</v>
      </c>
      <c r="E4" s="7" t="s">
        <v>143</v>
      </c>
      <c r="F4" s="16" t="s">
        <v>140</v>
      </c>
      <c r="G4" s="14" t="s">
        <v>203</v>
      </c>
      <c r="H4" s="16">
        <v>4</v>
      </c>
      <c r="I4" s="9"/>
      <c r="J4" s="26">
        <v>3</v>
      </c>
      <c r="K4" s="6"/>
      <c r="L4" s="9"/>
      <c r="M4" s="6" t="str">
        <f t="shared" si="0"/>
        <v>3с</v>
      </c>
      <c r="N4" s="8"/>
      <c r="O4" s="11"/>
      <c r="P4" s="11"/>
      <c r="Q4" s="11"/>
    </row>
    <row r="5" spans="1:17" s="84" customFormat="1" ht="27.75" customHeight="1">
      <c r="A5" s="6" t="s">
        <v>181</v>
      </c>
      <c r="B5" s="7" t="s">
        <v>127</v>
      </c>
      <c r="C5" s="8" t="s">
        <v>144</v>
      </c>
      <c r="D5" s="10" t="s">
        <v>174</v>
      </c>
      <c r="E5" s="7" t="s">
        <v>138</v>
      </c>
      <c r="F5" s="16" t="s">
        <v>169</v>
      </c>
      <c r="G5" s="14" t="s">
        <v>139</v>
      </c>
      <c r="H5" s="16">
        <v>9</v>
      </c>
      <c r="I5" s="9"/>
      <c r="J5" s="26">
        <v>2</v>
      </c>
      <c r="K5" s="6"/>
      <c r="L5" s="9"/>
      <c r="M5" s="6" t="str">
        <f t="shared" si="0"/>
        <v>4с</v>
      </c>
      <c r="N5" s="8"/>
      <c r="O5" s="12"/>
      <c r="P5" s="12"/>
      <c r="Q5" s="11"/>
    </row>
    <row r="6" spans="1:17" s="84" customFormat="1" ht="27.75" customHeight="1">
      <c r="A6" s="6" t="s">
        <v>182</v>
      </c>
      <c r="B6" s="7" t="s">
        <v>126</v>
      </c>
      <c r="C6" s="8" t="s">
        <v>145</v>
      </c>
      <c r="D6" s="10" t="s">
        <v>146</v>
      </c>
      <c r="E6" s="7" t="s">
        <v>138</v>
      </c>
      <c r="F6" s="16" t="s">
        <v>177</v>
      </c>
      <c r="G6" s="14" t="s">
        <v>139</v>
      </c>
      <c r="H6" s="16">
        <v>10</v>
      </c>
      <c r="I6" s="9"/>
      <c r="J6" s="26">
        <v>3</v>
      </c>
      <c r="K6" s="6"/>
      <c r="L6" s="9"/>
      <c r="M6" s="6" t="str">
        <f t="shared" si="0"/>
        <v>5с</v>
      </c>
      <c r="N6" s="8"/>
      <c r="O6" s="11"/>
      <c r="P6" s="11"/>
      <c r="Q6" s="11"/>
    </row>
    <row r="7" spans="1:17" s="84" customFormat="1" ht="27.75" customHeight="1">
      <c r="A7" s="6" t="s">
        <v>183</v>
      </c>
      <c r="B7" s="7" t="s">
        <v>126</v>
      </c>
      <c r="C7" s="8" t="s">
        <v>147</v>
      </c>
      <c r="D7" s="10" t="s">
        <v>148</v>
      </c>
      <c r="E7" s="7" t="s">
        <v>158</v>
      </c>
      <c r="F7" s="16" t="s">
        <v>140</v>
      </c>
      <c r="G7" s="14" t="s">
        <v>204</v>
      </c>
      <c r="H7" s="16">
        <v>12</v>
      </c>
      <c r="I7" s="9"/>
      <c r="J7" s="26">
        <v>3</v>
      </c>
      <c r="K7" s="6"/>
      <c r="L7" s="9"/>
      <c r="M7" s="6" t="str">
        <f t="shared" si="0"/>
        <v>6с</v>
      </c>
      <c r="N7" s="8"/>
      <c r="O7" s="11"/>
      <c r="P7" s="11"/>
      <c r="Q7" s="11"/>
    </row>
    <row r="8" spans="1:17" s="84" customFormat="1" ht="27.75" customHeight="1">
      <c r="A8" s="6" t="s">
        <v>184</v>
      </c>
      <c r="B8" s="7" t="s">
        <v>128</v>
      </c>
      <c r="C8" s="8" t="s">
        <v>149</v>
      </c>
      <c r="D8" s="10" t="s">
        <v>150</v>
      </c>
      <c r="E8" s="7" t="s">
        <v>138</v>
      </c>
      <c r="F8" s="16" t="s">
        <v>170</v>
      </c>
      <c r="G8" s="14" t="s">
        <v>139</v>
      </c>
      <c r="H8" s="16">
        <v>6</v>
      </c>
      <c r="I8" s="9"/>
      <c r="J8" s="26">
        <v>3</v>
      </c>
      <c r="K8" s="6"/>
      <c r="L8" s="9"/>
      <c r="M8" s="6" t="str">
        <f t="shared" si="0"/>
        <v>7с</v>
      </c>
      <c r="N8" s="8" t="s">
        <v>193</v>
      </c>
      <c r="O8" s="11"/>
      <c r="P8" s="11"/>
      <c r="Q8" s="11"/>
    </row>
    <row r="9" spans="1:17" s="84" customFormat="1" ht="27.75" customHeight="1">
      <c r="A9" s="6" t="s">
        <v>185</v>
      </c>
      <c r="B9" s="7" t="s">
        <v>128</v>
      </c>
      <c r="C9" s="8" t="s">
        <v>149</v>
      </c>
      <c r="D9" s="10" t="s">
        <v>151</v>
      </c>
      <c r="E9" s="7" t="s">
        <v>152</v>
      </c>
      <c r="F9" s="16" t="s">
        <v>140</v>
      </c>
      <c r="G9" s="15" t="s">
        <v>153</v>
      </c>
      <c r="H9" s="16">
        <v>8</v>
      </c>
      <c r="I9" s="9"/>
      <c r="J9" s="26">
        <v>3</v>
      </c>
      <c r="K9" s="6"/>
      <c r="L9" s="9"/>
      <c r="M9" s="6" t="str">
        <f t="shared" si="0"/>
        <v>8с</v>
      </c>
      <c r="N9" s="8"/>
      <c r="O9" s="11"/>
      <c r="P9" s="11"/>
      <c r="Q9" s="11"/>
    </row>
    <row r="10" spans="1:17" s="84" customFormat="1" ht="27.75" customHeight="1">
      <c r="A10" s="6" t="s">
        <v>186</v>
      </c>
      <c r="B10" s="7" t="s">
        <v>130</v>
      </c>
      <c r="C10" s="8" t="s">
        <v>154</v>
      </c>
      <c r="D10" s="10" t="s">
        <v>155</v>
      </c>
      <c r="E10" s="7" t="s">
        <v>158</v>
      </c>
      <c r="F10" s="16" t="s">
        <v>140</v>
      </c>
      <c r="G10" s="15" t="s">
        <v>205</v>
      </c>
      <c r="H10" s="16">
        <v>8</v>
      </c>
      <c r="I10" s="9"/>
      <c r="J10" s="26">
        <v>3</v>
      </c>
      <c r="K10" s="6"/>
      <c r="L10" s="9"/>
      <c r="M10" s="6" t="str">
        <f t="shared" si="0"/>
        <v>9с</v>
      </c>
      <c r="N10" s="8"/>
      <c r="O10" s="11"/>
      <c r="P10" s="11"/>
      <c r="Q10" s="11"/>
    </row>
    <row r="11" spans="1:17" s="84" customFormat="1" ht="27.75" customHeight="1">
      <c r="A11" s="6" t="s">
        <v>187</v>
      </c>
      <c r="B11" s="7" t="s">
        <v>125</v>
      </c>
      <c r="C11" s="8" t="s">
        <v>156</v>
      </c>
      <c r="D11" s="10" t="s">
        <v>157</v>
      </c>
      <c r="E11" s="7" t="s">
        <v>158</v>
      </c>
      <c r="F11" s="16" t="s">
        <v>140</v>
      </c>
      <c r="G11" s="14" t="s">
        <v>159</v>
      </c>
      <c r="H11" s="16">
        <v>8</v>
      </c>
      <c r="I11" s="9"/>
      <c r="J11" s="26">
        <v>3</v>
      </c>
      <c r="K11" s="6"/>
      <c r="L11" s="9"/>
      <c r="M11" s="6" t="str">
        <f t="shared" si="0"/>
        <v>10с</v>
      </c>
      <c r="N11" s="8"/>
      <c r="O11" s="11"/>
      <c r="P11" s="11"/>
      <c r="Q11" s="11"/>
    </row>
    <row r="12" spans="1:17" s="84" customFormat="1" ht="27.75" customHeight="1">
      <c r="A12" s="6" t="s">
        <v>188</v>
      </c>
      <c r="B12" s="7" t="s">
        <v>125</v>
      </c>
      <c r="C12" s="8" t="s">
        <v>163</v>
      </c>
      <c r="D12" s="10" t="s">
        <v>160</v>
      </c>
      <c r="E12" s="7" t="s">
        <v>138</v>
      </c>
      <c r="F12" s="16" t="s">
        <v>140</v>
      </c>
      <c r="G12" s="14" t="s">
        <v>161</v>
      </c>
      <c r="H12" s="16">
        <v>8</v>
      </c>
      <c r="I12" s="9"/>
      <c r="J12" s="26">
        <v>3</v>
      </c>
      <c r="K12" s="6"/>
      <c r="L12" s="9"/>
      <c r="M12" s="6" t="str">
        <f t="shared" si="0"/>
        <v>11с</v>
      </c>
      <c r="N12" s="8"/>
      <c r="O12" s="11"/>
      <c r="P12" s="11"/>
      <c r="Q12" s="11"/>
    </row>
    <row r="13" spans="1:17" s="84" customFormat="1" ht="27.75" customHeight="1">
      <c r="A13" s="6" t="s">
        <v>189</v>
      </c>
      <c r="B13" s="7" t="s">
        <v>125</v>
      </c>
      <c r="C13" s="8" t="s">
        <v>164</v>
      </c>
      <c r="D13" s="10" t="s">
        <v>219</v>
      </c>
      <c r="E13" s="7" t="s">
        <v>162</v>
      </c>
      <c r="F13" s="16" t="s">
        <v>140</v>
      </c>
      <c r="G13" s="14" t="s">
        <v>221</v>
      </c>
      <c r="H13" s="16">
        <v>13</v>
      </c>
      <c r="I13" s="7"/>
      <c r="J13" s="26">
        <v>3</v>
      </c>
      <c r="K13" s="6"/>
      <c r="L13" s="9"/>
      <c r="M13" s="6" t="str">
        <f t="shared" si="0"/>
        <v>12с</v>
      </c>
      <c r="N13" s="8"/>
      <c r="O13" s="11"/>
      <c r="P13" s="11"/>
      <c r="Q13" s="11"/>
    </row>
    <row r="14" spans="1:17" s="84" customFormat="1" ht="27.75" customHeight="1">
      <c r="A14" s="6" t="s">
        <v>190</v>
      </c>
      <c r="B14" s="7" t="s">
        <v>125</v>
      </c>
      <c r="C14" s="8" t="s">
        <v>165</v>
      </c>
      <c r="D14" s="10" t="s">
        <v>166</v>
      </c>
      <c r="E14" s="7" t="s">
        <v>138</v>
      </c>
      <c r="F14" s="16" t="s">
        <v>169</v>
      </c>
      <c r="G14" s="14" t="s">
        <v>139</v>
      </c>
      <c r="H14" s="16">
        <v>6</v>
      </c>
      <c r="I14" s="9"/>
      <c r="J14" s="26">
        <v>3</v>
      </c>
      <c r="K14" s="6"/>
      <c r="L14" s="9"/>
      <c r="M14" s="6" t="str">
        <f t="shared" si="0"/>
        <v>13с</v>
      </c>
      <c r="N14" s="8"/>
      <c r="O14" s="11"/>
      <c r="P14" s="11"/>
      <c r="Q14" s="11"/>
    </row>
    <row r="15" spans="1:17" s="84" customFormat="1" ht="27.75" customHeight="1">
      <c r="A15" s="6" t="s">
        <v>191</v>
      </c>
      <c r="B15" s="7" t="s">
        <v>125</v>
      </c>
      <c r="C15" s="8" t="s">
        <v>167</v>
      </c>
      <c r="D15" s="10" t="s">
        <v>168</v>
      </c>
      <c r="E15" s="7" t="s">
        <v>158</v>
      </c>
      <c r="F15" s="16" t="s">
        <v>171</v>
      </c>
      <c r="G15" s="14" t="s">
        <v>206</v>
      </c>
      <c r="H15" s="16">
        <v>8</v>
      </c>
      <c r="I15" s="9"/>
      <c r="J15" s="26">
        <v>3</v>
      </c>
      <c r="K15" s="6"/>
      <c r="L15" s="9"/>
      <c r="M15" s="6" t="str">
        <f t="shared" si="0"/>
        <v>14с</v>
      </c>
      <c r="N15" s="8"/>
      <c r="O15" s="11"/>
      <c r="P15" s="11"/>
      <c r="Q15" s="11"/>
    </row>
    <row r="16" spans="1:17" s="84" customFormat="1" ht="27.75" customHeight="1">
      <c r="A16" s="6" t="s">
        <v>192</v>
      </c>
      <c r="B16" s="7" t="s">
        <v>125</v>
      </c>
      <c r="C16" s="8" t="s">
        <v>156</v>
      </c>
      <c r="D16" s="10" t="s">
        <v>157</v>
      </c>
      <c r="E16" s="7" t="s">
        <v>138</v>
      </c>
      <c r="F16" s="16" t="s">
        <v>172</v>
      </c>
      <c r="G16" s="14" t="s">
        <v>139</v>
      </c>
      <c r="H16" s="16">
        <v>6</v>
      </c>
      <c r="I16" s="9"/>
      <c r="J16" s="26">
        <v>3</v>
      </c>
      <c r="K16" s="6"/>
      <c r="L16" s="9"/>
      <c r="M16" s="6" t="str">
        <f t="shared" si="0"/>
        <v>15с</v>
      </c>
      <c r="N16" s="8"/>
      <c r="O16" s="11"/>
      <c r="P16" s="11"/>
      <c r="Q16" s="11"/>
    </row>
    <row r="17" spans="2:8" ht="15.75">
      <c r="B17" s="86" t="s">
        <v>173</v>
      </c>
      <c r="H17" s="45">
        <f>SUM(H2:H16)</f>
        <v>124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9"/>
  </sheetPr>
  <dimension ref="A1:CO47"/>
  <sheetViews>
    <sheetView zoomScale="90" zoomScaleNormal="90" zoomScalePageLayoutView="0" workbookViewId="0" topLeftCell="A1">
      <pane xSplit="26" ySplit="5" topLeftCell="CI6" activePane="bottomRight" state="frozen"/>
      <selection pane="topLeft" activeCell="A1" sqref="A1"/>
      <selection pane="topRight" activeCell="AA1" sqref="AA1"/>
      <selection pane="bottomLeft" activeCell="A7" sqref="A7"/>
      <selection pane="bottomRight" activeCell="CK6" sqref="CK6"/>
    </sheetView>
  </sheetViews>
  <sheetFormatPr defaultColWidth="9.00390625" defaultRowHeight="15"/>
  <cols>
    <col min="1" max="1" width="4.421875" style="98" customWidth="1"/>
    <col min="2" max="2" width="14.28125" style="99" customWidth="1"/>
    <col min="3" max="3" width="8.421875" style="100" customWidth="1"/>
    <col min="4" max="4" width="16.7109375" style="99" customWidth="1"/>
    <col min="5" max="5" width="3.00390625" style="135" customWidth="1"/>
    <col min="6" max="12" width="3.7109375" style="35" customWidth="1"/>
    <col min="13" max="13" width="3.7109375" style="94" customWidth="1"/>
    <col min="14" max="20" width="3.7109375" style="35" customWidth="1"/>
    <col min="21" max="21" width="3.7109375" style="95" customWidth="1"/>
    <col min="22" max="22" width="3.7109375" style="96" customWidth="1"/>
    <col min="23" max="33" width="3.7109375" style="35" customWidth="1"/>
    <col min="34" max="34" width="3.7109375" style="94" customWidth="1"/>
    <col min="35" max="38" width="3.7109375" style="35" customWidth="1"/>
    <col min="39" max="39" width="3.7109375" style="95" customWidth="1"/>
    <col min="40" max="40" width="3.7109375" style="96" customWidth="1"/>
    <col min="41" max="41" width="3.7109375" style="97" customWidth="1"/>
    <col min="42" max="44" width="3.7109375" style="35" customWidth="1"/>
    <col min="45" max="45" width="3.7109375" style="96" customWidth="1"/>
    <col min="46" max="52" width="3.7109375" style="35" customWidth="1"/>
    <col min="53" max="53" width="3.7109375" style="94" customWidth="1"/>
    <col min="54" max="63" width="3.7109375" style="35" customWidth="1"/>
    <col min="64" max="64" width="3.7109375" style="95" customWidth="1"/>
    <col min="65" max="65" width="3.7109375" style="96" customWidth="1"/>
    <col min="66" max="77" width="3.7109375" style="35" customWidth="1"/>
    <col min="78" max="78" width="3.7109375" style="94" customWidth="1"/>
    <col min="79" max="80" width="3.7109375" style="35" customWidth="1"/>
    <col min="81" max="81" width="3.7109375" style="95" customWidth="1"/>
    <col min="82" max="82" width="3.421875" style="96" customWidth="1"/>
    <col min="83" max="83" width="4.140625" style="65" customWidth="1"/>
    <col min="84" max="84" width="4.421875" style="35" customWidth="1"/>
    <col min="85" max="85" width="13.7109375" style="99" customWidth="1"/>
    <col min="86" max="86" width="9.00390625" style="35" customWidth="1"/>
    <col min="87" max="90" width="4.421875" style="35" customWidth="1"/>
    <col min="91" max="91" width="9.00390625" style="35" customWidth="1"/>
    <col min="92" max="92" width="10.421875" style="35" customWidth="1"/>
    <col min="93" max="93" width="9.00390625" style="35" customWidth="1"/>
    <col min="94" max="94" width="8.8515625" style="35" customWidth="1"/>
    <col min="95" max="16384" width="9.00390625" style="35" customWidth="1"/>
  </cols>
  <sheetData>
    <row r="1" spans="1:90" s="93" customFormat="1" ht="142.5" customHeight="1">
      <c r="A1" s="101" t="s">
        <v>14</v>
      </c>
      <c r="B1" s="17" t="s">
        <v>15</v>
      </c>
      <c r="C1" s="14" t="s">
        <v>16</v>
      </c>
      <c r="D1" s="17" t="s">
        <v>17</v>
      </c>
      <c r="E1" s="87" t="s">
        <v>18</v>
      </c>
      <c r="F1" s="18" t="s">
        <v>19</v>
      </c>
      <c r="G1" s="18" t="s">
        <v>20</v>
      </c>
      <c r="H1" s="18" t="s">
        <v>21</v>
      </c>
      <c r="I1" s="18" t="s">
        <v>22</v>
      </c>
      <c r="J1" s="18" t="s">
        <v>23</v>
      </c>
      <c r="K1" s="18" t="s">
        <v>24</v>
      </c>
      <c r="L1" s="18" t="s">
        <v>25</v>
      </c>
      <c r="M1" s="19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1" t="s">
        <v>34</v>
      </c>
      <c r="V1" s="22" t="s">
        <v>35</v>
      </c>
      <c r="W1" s="20" t="s">
        <v>36</v>
      </c>
      <c r="X1" s="20" t="s">
        <v>37</v>
      </c>
      <c r="Y1" s="20" t="s">
        <v>38</v>
      </c>
      <c r="Z1" s="20" t="s">
        <v>39</v>
      </c>
      <c r="AA1" s="20" t="s">
        <v>40</v>
      </c>
      <c r="AB1" s="20" t="s">
        <v>41</v>
      </c>
      <c r="AC1" s="20" t="s">
        <v>42</v>
      </c>
      <c r="AD1" s="20" t="s">
        <v>43</v>
      </c>
      <c r="AE1" s="20" t="s">
        <v>44</v>
      </c>
      <c r="AF1" s="20" t="s">
        <v>45</v>
      </c>
      <c r="AG1" s="20" t="s">
        <v>46</v>
      </c>
      <c r="AH1" s="19" t="s">
        <v>47</v>
      </c>
      <c r="AI1" s="20" t="s">
        <v>48</v>
      </c>
      <c r="AJ1" s="20" t="s">
        <v>49</v>
      </c>
      <c r="AK1" s="20" t="s">
        <v>50</v>
      </c>
      <c r="AL1" s="20" t="s">
        <v>51</v>
      </c>
      <c r="AM1" s="21" t="s">
        <v>34</v>
      </c>
      <c r="AN1" s="22" t="s">
        <v>52</v>
      </c>
      <c r="AO1" s="23" t="s">
        <v>53</v>
      </c>
      <c r="AP1" s="20" t="s">
        <v>54</v>
      </c>
      <c r="AQ1" s="20" t="s">
        <v>55</v>
      </c>
      <c r="AR1" s="20" t="s">
        <v>56</v>
      </c>
      <c r="AS1" s="22" t="s">
        <v>57</v>
      </c>
      <c r="AT1" s="20" t="s">
        <v>58</v>
      </c>
      <c r="AU1" s="20" t="s">
        <v>59</v>
      </c>
      <c r="AV1" s="20" t="s">
        <v>60</v>
      </c>
      <c r="AW1" s="20" t="s">
        <v>61</v>
      </c>
      <c r="AX1" s="20" t="s">
        <v>62</v>
      </c>
      <c r="AY1" s="20" t="s">
        <v>63</v>
      </c>
      <c r="AZ1" s="20" t="s">
        <v>64</v>
      </c>
      <c r="BA1" s="19" t="s">
        <v>65</v>
      </c>
      <c r="BB1" s="20" t="s">
        <v>66</v>
      </c>
      <c r="BC1" s="20" t="s">
        <v>67</v>
      </c>
      <c r="BD1" s="20" t="s">
        <v>68</v>
      </c>
      <c r="BE1" s="20" t="s">
        <v>69</v>
      </c>
      <c r="BF1" s="20" t="s">
        <v>70</v>
      </c>
      <c r="BG1" s="20" t="s">
        <v>71</v>
      </c>
      <c r="BH1" s="20" t="s">
        <v>72</v>
      </c>
      <c r="BI1" s="20" t="s">
        <v>73</v>
      </c>
      <c r="BJ1" s="20" t="s">
        <v>74</v>
      </c>
      <c r="BK1" s="20" t="s">
        <v>75</v>
      </c>
      <c r="BL1" s="21" t="s">
        <v>34</v>
      </c>
      <c r="BM1" s="22" t="s">
        <v>76</v>
      </c>
      <c r="BN1" s="20" t="s">
        <v>77</v>
      </c>
      <c r="BO1" s="20" t="s">
        <v>78</v>
      </c>
      <c r="BP1" s="20" t="s">
        <v>79</v>
      </c>
      <c r="BQ1" s="20" t="s">
        <v>80</v>
      </c>
      <c r="BR1" s="20" t="s">
        <v>81</v>
      </c>
      <c r="BS1" s="20" t="s">
        <v>82</v>
      </c>
      <c r="BT1" s="20" t="s">
        <v>83</v>
      </c>
      <c r="BU1" s="20" t="s">
        <v>84</v>
      </c>
      <c r="BV1" s="20" t="s">
        <v>85</v>
      </c>
      <c r="BW1" s="20" t="s">
        <v>86</v>
      </c>
      <c r="BX1" s="20" t="s">
        <v>87</v>
      </c>
      <c r="BY1" s="20" t="s">
        <v>88</v>
      </c>
      <c r="BZ1" s="19" t="s">
        <v>47</v>
      </c>
      <c r="CA1" s="20" t="s">
        <v>89</v>
      </c>
      <c r="CB1" s="20" t="s">
        <v>90</v>
      </c>
      <c r="CC1" s="21" t="s">
        <v>34</v>
      </c>
      <c r="CD1" s="22" t="s">
        <v>91</v>
      </c>
      <c r="CE1" s="24" t="s">
        <v>92</v>
      </c>
      <c r="CF1" s="20" t="s">
        <v>14</v>
      </c>
      <c r="CG1" s="17" t="s">
        <v>15</v>
      </c>
      <c r="CH1" s="14" t="s">
        <v>16</v>
      </c>
      <c r="CI1" s="25" t="s">
        <v>93</v>
      </c>
      <c r="CJ1" s="25" t="s">
        <v>94</v>
      </c>
      <c r="CK1" s="25" t="s">
        <v>95</v>
      </c>
      <c r="CL1" s="25" t="s">
        <v>96</v>
      </c>
    </row>
    <row r="2" spans="1:93" s="128" customFormat="1" ht="16.5" customHeight="1">
      <c r="A2" s="90" t="s">
        <v>180</v>
      </c>
      <c r="B2" s="118" t="str">
        <f>VLOOKUP(A2,реєстрація!A:AB,5,FALSE)</f>
        <v>авто-мото</v>
      </c>
      <c r="C2" s="119" t="str">
        <f>VLOOKUP(A2,реєстрація!A:AK,6,FALSE)</f>
        <v>І к.с.</v>
      </c>
      <c r="D2" s="127" t="s">
        <v>194</v>
      </c>
      <c r="E2" s="120">
        <v>1</v>
      </c>
      <c r="F2" s="90">
        <v>1</v>
      </c>
      <c r="G2" s="90"/>
      <c r="H2" s="90"/>
      <c r="I2" s="90"/>
      <c r="J2" s="90"/>
      <c r="K2" s="90"/>
      <c r="L2" s="90"/>
      <c r="M2" s="121">
        <f aca="true" t="shared" si="0" ref="M2:M46">SUM(F2:L2)</f>
        <v>1</v>
      </c>
      <c r="N2" s="90"/>
      <c r="O2" s="90"/>
      <c r="P2" s="90"/>
      <c r="Q2" s="90"/>
      <c r="R2" s="90"/>
      <c r="S2" s="90"/>
      <c r="T2" s="90"/>
      <c r="U2" s="122">
        <f aca="true" t="shared" si="1" ref="U2:U46">SUM(N2:T2)</f>
        <v>0</v>
      </c>
      <c r="V2" s="123">
        <f aca="true" t="shared" si="2" ref="V2:V46">15-M2+U2</f>
        <v>14</v>
      </c>
      <c r="W2" s="90"/>
      <c r="X2" s="90"/>
      <c r="Y2" s="90"/>
      <c r="Z2" s="90">
        <v>1</v>
      </c>
      <c r="AA2" s="90">
        <v>1</v>
      </c>
      <c r="AB2" s="90">
        <v>1</v>
      </c>
      <c r="AC2" s="90"/>
      <c r="AD2" s="90"/>
      <c r="AE2" s="90"/>
      <c r="AF2" s="90"/>
      <c r="AG2" s="90"/>
      <c r="AH2" s="121">
        <f aca="true" t="shared" si="3" ref="AH2:AH46">SUM(W2:AG2)</f>
        <v>3</v>
      </c>
      <c r="AI2" s="90"/>
      <c r="AJ2" s="90"/>
      <c r="AK2" s="90"/>
      <c r="AL2" s="90">
        <v>1</v>
      </c>
      <c r="AM2" s="122">
        <f aca="true" t="shared" si="4" ref="AM2:AM46">SUM(AI2:AL2)</f>
        <v>1</v>
      </c>
      <c r="AN2" s="123">
        <f aca="true" t="shared" si="5" ref="AN2:AN46">15-AH2+AM2</f>
        <v>13</v>
      </c>
      <c r="AO2" s="124"/>
      <c r="AP2" s="90"/>
      <c r="AQ2" s="90"/>
      <c r="AR2" s="90"/>
      <c r="AS2" s="123">
        <f aca="true" t="shared" si="6" ref="AS2:AS46">15+AP2+AQ2+AR2-AO2</f>
        <v>15</v>
      </c>
      <c r="AT2" s="90"/>
      <c r="AU2" s="90"/>
      <c r="AV2" s="90">
        <v>3</v>
      </c>
      <c r="AW2" s="90"/>
      <c r="AX2" s="90"/>
      <c r="AY2" s="90"/>
      <c r="AZ2" s="90"/>
      <c r="BA2" s="121">
        <f aca="true" t="shared" si="7" ref="BA2:BA46">SUM(AT2:AZ2)</f>
        <v>3</v>
      </c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122">
        <f aca="true" t="shared" si="8" ref="BL2:BL46">SUM(BB2:BK2)</f>
        <v>0</v>
      </c>
      <c r="BM2" s="123">
        <f aca="true" t="shared" si="9" ref="BM2:BM46">40+BL2-BA2</f>
        <v>37</v>
      </c>
      <c r="BN2" s="90"/>
      <c r="BO2" s="90"/>
      <c r="BP2" s="90"/>
      <c r="BQ2" s="90">
        <v>1</v>
      </c>
      <c r="BR2" s="90"/>
      <c r="BS2" s="90"/>
      <c r="BT2" s="90"/>
      <c r="BU2" s="90"/>
      <c r="BV2" s="90"/>
      <c r="BW2" s="90"/>
      <c r="BX2" s="90">
        <v>1</v>
      </c>
      <c r="BY2" s="90"/>
      <c r="BZ2" s="121">
        <f aca="true" t="shared" si="10" ref="BZ2:BZ46">SUM(BN2:BY2)</f>
        <v>2</v>
      </c>
      <c r="CA2" s="90">
        <v>1</v>
      </c>
      <c r="CB2" s="90"/>
      <c r="CC2" s="122">
        <f aca="true" t="shared" si="11" ref="CC2:CC46">SUM(CA2:CB2)</f>
        <v>1</v>
      </c>
      <c r="CD2" s="123">
        <f aca="true" t="shared" si="12" ref="CD2:CD46">15+CC2-BZ2</f>
        <v>14</v>
      </c>
      <c r="CE2" s="125">
        <f aca="true" t="shared" si="13" ref="CE2:CE33">SUM(CD2,BM2,AS2,AN2,V2)</f>
        <v>93</v>
      </c>
      <c r="CF2" s="126" t="str">
        <f aca="true" t="shared" si="14" ref="CF2:CF46">A2</f>
        <v>3с</v>
      </c>
      <c r="CG2" s="127" t="str">
        <f aca="true" t="shared" si="15" ref="CG2:CG46">B2</f>
        <v>авто-мото</v>
      </c>
      <c r="CH2" s="120" t="str">
        <f aca="true" t="shared" si="16" ref="CH2:CH46">C2</f>
        <v>І к.с.</v>
      </c>
      <c r="CI2" s="90">
        <f>CE2</f>
        <v>93</v>
      </c>
      <c r="CJ2" s="90">
        <f>CE3</f>
        <v>99</v>
      </c>
      <c r="CK2" s="90">
        <v>0</v>
      </c>
      <c r="CL2" s="90"/>
      <c r="CO2" s="129"/>
    </row>
    <row r="3" spans="1:93" s="128" customFormat="1" ht="16.5" customHeight="1">
      <c r="A3" s="90" t="s">
        <v>180</v>
      </c>
      <c r="B3" s="118" t="str">
        <f>VLOOKUP(A3,реєстрація!A:AB,5,FALSE)</f>
        <v>авто-мото</v>
      </c>
      <c r="C3" s="119" t="str">
        <f>VLOOKUP(A3,реєстрація!A:AK,6,FALSE)</f>
        <v>І к.с.</v>
      </c>
      <c r="D3" s="118" t="s">
        <v>195</v>
      </c>
      <c r="E3" s="120">
        <v>2</v>
      </c>
      <c r="F3" s="90"/>
      <c r="G3" s="90"/>
      <c r="H3" s="90"/>
      <c r="I3" s="90"/>
      <c r="J3" s="90"/>
      <c r="K3" s="90"/>
      <c r="L3" s="90"/>
      <c r="M3" s="121">
        <f t="shared" si="0"/>
        <v>0</v>
      </c>
      <c r="N3" s="90"/>
      <c r="O3" s="90"/>
      <c r="P3" s="90"/>
      <c r="Q3" s="90"/>
      <c r="R3" s="90"/>
      <c r="S3" s="90"/>
      <c r="T3" s="90"/>
      <c r="U3" s="122">
        <f t="shared" si="1"/>
        <v>0</v>
      </c>
      <c r="V3" s="123">
        <f t="shared" si="2"/>
        <v>15</v>
      </c>
      <c r="W3" s="90"/>
      <c r="X3" s="90"/>
      <c r="Y3" s="90"/>
      <c r="Z3" s="90">
        <v>1</v>
      </c>
      <c r="AA3" s="90"/>
      <c r="AB3" s="90"/>
      <c r="AC3" s="90"/>
      <c r="AD3" s="90"/>
      <c r="AE3" s="90"/>
      <c r="AF3" s="90"/>
      <c r="AG3" s="90"/>
      <c r="AH3" s="121">
        <f t="shared" si="3"/>
        <v>1</v>
      </c>
      <c r="AI3" s="90"/>
      <c r="AJ3" s="90"/>
      <c r="AK3" s="90"/>
      <c r="AL3" s="90">
        <v>1</v>
      </c>
      <c r="AM3" s="122">
        <f t="shared" si="4"/>
        <v>1</v>
      </c>
      <c r="AN3" s="123">
        <f t="shared" si="5"/>
        <v>15</v>
      </c>
      <c r="AO3" s="124"/>
      <c r="AP3" s="90"/>
      <c r="AQ3" s="90"/>
      <c r="AR3" s="90"/>
      <c r="AS3" s="123">
        <f t="shared" si="6"/>
        <v>15</v>
      </c>
      <c r="AT3" s="90"/>
      <c r="AU3" s="90">
        <v>1</v>
      </c>
      <c r="AV3" s="90"/>
      <c r="AW3" s="90"/>
      <c r="AX3" s="90"/>
      <c r="AY3" s="90"/>
      <c r="AZ3" s="90"/>
      <c r="BA3" s="121">
        <f t="shared" si="7"/>
        <v>1</v>
      </c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122">
        <f t="shared" si="8"/>
        <v>0</v>
      </c>
      <c r="BM3" s="123">
        <f t="shared" si="9"/>
        <v>39</v>
      </c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121">
        <f t="shared" si="10"/>
        <v>0</v>
      </c>
      <c r="CA3" s="90"/>
      <c r="CB3" s="90"/>
      <c r="CC3" s="122">
        <f t="shared" si="11"/>
        <v>0</v>
      </c>
      <c r="CD3" s="123">
        <f t="shared" si="12"/>
        <v>15</v>
      </c>
      <c r="CE3" s="125">
        <f t="shared" si="13"/>
        <v>99</v>
      </c>
      <c r="CF3" s="126" t="str">
        <f t="shared" si="14"/>
        <v>3с</v>
      </c>
      <c r="CG3" s="127" t="str">
        <f t="shared" si="15"/>
        <v>авто-мото</v>
      </c>
      <c r="CH3" s="120" t="str">
        <f t="shared" si="16"/>
        <v>І к.с.</v>
      </c>
      <c r="CI3" s="90"/>
      <c r="CJ3" s="90"/>
      <c r="CK3" s="90"/>
      <c r="CL3" s="90"/>
      <c r="CO3" s="129"/>
    </row>
    <row r="4" spans="1:93" s="128" customFormat="1" ht="16.5" customHeight="1">
      <c r="A4" s="90" t="s">
        <v>185</v>
      </c>
      <c r="B4" s="118" t="str">
        <f>VLOOKUP(A4,реєстрація!A:AB,5,FALSE)</f>
        <v>велосипедний</v>
      </c>
      <c r="C4" s="119" t="str">
        <f>VLOOKUP(A4,реєстрація!A:AK,6,FALSE)</f>
        <v>І к.с.</v>
      </c>
      <c r="D4" s="127" t="s">
        <v>228</v>
      </c>
      <c r="E4" s="133">
        <v>1</v>
      </c>
      <c r="F4" s="90"/>
      <c r="G4" s="90">
        <v>1</v>
      </c>
      <c r="H4" s="90"/>
      <c r="I4" s="90"/>
      <c r="J4" s="90"/>
      <c r="K4" s="90"/>
      <c r="L4" s="90"/>
      <c r="M4" s="121">
        <f t="shared" si="0"/>
        <v>1</v>
      </c>
      <c r="N4" s="90"/>
      <c r="O4" s="90"/>
      <c r="P4" s="90"/>
      <c r="Q4" s="90"/>
      <c r="R4" s="90"/>
      <c r="S4" s="90"/>
      <c r="T4" s="90"/>
      <c r="U4" s="122">
        <f t="shared" si="1"/>
        <v>0</v>
      </c>
      <c r="V4" s="123">
        <f t="shared" si="2"/>
        <v>14</v>
      </c>
      <c r="W4" s="90"/>
      <c r="X4" s="90"/>
      <c r="Y4" s="90"/>
      <c r="Z4" s="90"/>
      <c r="AA4" s="90"/>
      <c r="AB4" s="90"/>
      <c r="AC4" s="90">
        <v>2</v>
      </c>
      <c r="AD4" s="90"/>
      <c r="AE4" s="90"/>
      <c r="AF4" s="90"/>
      <c r="AG4" s="90"/>
      <c r="AH4" s="121">
        <f t="shared" si="3"/>
        <v>2</v>
      </c>
      <c r="AI4" s="90"/>
      <c r="AJ4" s="90"/>
      <c r="AK4" s="90"/>
      <c r="AL4" s="90">
        <v>1</v>
      </c>
      <c r="AM4" s="122">
        <f t="shared" si="4"/>
        <v>1</v>
      </c>
      <c r="AN4" s="123">
        <f t="shared" si="5"/>
        <v>14</v>
      </c>
      <c r="AO4" s="124"/>
      <c r="AP4" s="90"/>
      <c r="AQ4" s="90"/>
      <c r="AR4" s="90"/>
      <c r="AS4" s="123">
        <f t="shared" si="6"/>
        <v>15</v>
      </c>
      <c r="AT4" s="90"/>
      <c r="AU4" s="90"/>
      <c r="AV4" s="90"/>
      <c r="AW4" s="90">
        <v>2</v>
      </c>
      <c r="AX4" s="90"/>
      <c r="AY4" s="90"/>
      <c r="AZ4" s="90"/>
      <c r="BA4" s="121">
        <f t="shared" si="7"/>
        <v>2</v>
      </c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122">
        <f t="shared" si="8"/>
        <v>0</v>
      </c>
      <c r="BM4" s="123">
        <f t="shared" si="9"/>
        <v>38</v>
      </c>
      <c r="BN4" s="90"/>
      <c r="BO4" s="90"/>
      <c r="BP4" s="90"/>
      <c r="BQ4" s="90">
        <v>1</v>
      </c>
      <c r="BR4" s="90"/>
      <c r="BS4" s="90"/>
      <c r="BT4" s="90"/>
      <c r="BU4" s="90"/>
      <c r="BV4" s="90">
        <v>2</v>
      </c>
      <c r="BW4" s="90"/>
      <c r="BX4" s="90"/>
      <c r="BY4" s="90"/>
      <c r="BZ4" s="121">
        <f t="shared" si="10"/>
        <v>3</v>
      </c>
      <c r="CA4" s="90"/>
      <c r="CB4" s="90"/>
      <c r="CC4" s="122">
        <f t="shared" si="11"/>
        <v>0</v>
      </c>
      <c r="CD4" s="123">
        <f t="shared" si="12"/>
        <v>12</v>
      </c>
      <c r="CE4" s="125">
        <f t="shared" si="13"/>
        <v>93</v>
      </c>
      <c r="CF4" s="126" t="str">
        <f t="shared" si="14"/>
        <v>8с</v>
      </c>
      <c r="CG4" s="127" t="str">
        <f t="shared" si="15"/>
        <v>велосипедний</v>
      </c>
      <c r="CH4" s="120" t="str">
        <f t="shared" si="16"/>
        <v>І к.с.</v>
      </c>
      <c r="CI4" s="90">
        <f>CE4</f>
        <v>93</v>
      </c>
      <c r="CJ4" s="90">
        <f>CE5</f>
        <v>106</v>
      </c>
      <c r="CK4" s="90"/>
      <c r="CL4" s="90"/>
      <c r="CO4" s="129"/>
    </row>
    <row r="5" spans="1:93" s="128" customFormat="1" ht="16.5" customHeight="1">
      <c r="A5" s="90" t="s">
        <v>185</v>
      </c>
      <c r="B5" s="118" t="str">
        <f>VLOOKUP(A5,реєстрація!A:AB,5,FALSE)</f>
        <v>велосипедний</v>
      </c>
      <c r="C5" s="119" t="str">
        <f>VLOOKUP(A5,реєстрація!A:AK,6,FALSE)</f>
        <v>І к.с.</v>
      </c>
      <c r="D5" s="127" t="s">
        <v>229</v>
      </c>
      <c r="E5" s="133">
        <v>2</v>
      </c>
      <c r="F5" s="90"/>
      <c r="G5" s="90">
        <v>1</v>
      </c>
      <c r="H5" s="90"/>
      <c r="I5" s="90"/>
      <c r="J5" s="90"/>
      <c r="K5" s="90"/>
      <c r="L5" s="90"/>
      <c r="M5" s="121">
        <f t="shared" si="0"/>
        <v>1</v>
      </c>
      <c r="N5" s="90"/>
      <c r="O5" s="90"/>
      <c r="P5" s="90"/>
      <c r="Q5" s="90"/>
      <c r="R5" s="90"/>
      <c r="S5" s="90"/>
      <c r="T5" s="90"/>
      <c r="U5" s="122">
        <f t="shared" si="1"/>
        <v>0</v>
      </c>
      <c r="V5" s="123">
        <f t="shared" si="2"/>
        <v>14</v>
      </c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121">
        <f t="shared" si="3"/>
        <v>0</v>
      </c>
      <c r="AI5" s="90"/>
      <c r="AJ5" s="90"/>
      <c r="AK5" s="90"/>
      <c r="AL5" s="90">
        <v>2</v>
      </c>
      <c r="AM5" s="122">
        <f t="shared" si="4"/>
        <v>2</v>
      </c>
      <c r="AN5" s="123">
        <f t="shared" si="5"/>
        <v>17</v>
      </c>
      <c r="AO5" s="124"/>
      <c r="AP5" s="90"/>
      <c r="AQ5" s="90"/>
      <c r="AR5" s="90"/>
      <c r="AS5" s="123">
        <f t="shared" si="6"/>
        <v>15</v>
      </c>
      <c r="AT5" s="90"/>
      <c r="AU5" s="90"/>
      <c r="AV5" s="90"/>
      <c r="AW5" s="90"/>
      <c r="AX5" s="90"/>
      <c r="AY5" s="90"/>
      <c r="AZ5" s="90"/>
      <c r="BA5" s="121">
        <f t="shared" si="7"/>
        <v>0</v>
      </c>
      <c r="BB5" s="90"/>
      <c r="BC5" s="90"/>
      <c r="BD5" s="90"/>
      <c r="BE5" s="90"/>
      <c r="BF5" s="90"/>
      <c r="BG5" s="90"/>
      <c r="BH5" s="90">
        <v>1</v>
      </c>
      <c r="BI5" s="90">
        <v>1</v>
      </c>
      <c r="BJ5" s="90"/>
      <c r="BK5" s="90"/>
      <c r="BL5" s="122">
        <f t="shared" si="8"/>
        <v>2</v>
      </c>
      <c r="BM5" s="123">
        <f t="shared" si="9"/>
        <v>42</v>
      </c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121">
        <f t="shared" si="10"/>
        <v>0</v>
      </c>
      <c r="CA5" s="90">
        <v>3</v>
      </c>
      <c r="CB5" s="90"/>
      <c r="CC5" s="122">
        <f t="shared" si="11"/>
        <v>3</v>
      </c>
      <c r="CD5" s="123">
        <f t="shared" si="12"/>
        <v>18</v>
      </c>
      <c r="CE5" s="125">
        <f t="shared" si="13"/>
        <v>106</v>
      </c>
      <c r="CF5" s="126" t="str">
        <f t="shared" si="14"/>
        <v>8с</v>
      </c>
      <c r="CG5" s="127" t="str">
        <f t="shared" si="15"/>
        <v>велосипедний</v>
      </c>
      <c r="CH5" s="120" t="str">
        <f t="shared" si="16"/>
        <v>І к.с.</v>
      </c>
      <c r="CI5" s="90"/>
      <c r="CJ5" s="90"/>
      <c r="CK5" s="90"/>
      <c r="CL5" s="90"/>
      <c r="CO5" s="129"/>
    </row>
    <row r="6" spans="1:93" s="128" customFormat="1" ht="16.5" customHeight="1">
      <c r="A6" s="90" t="s">
        <v>186</v>
      </c>
      <c r="B6" s="118" t="str">
        <f>VLOOKUP(A6,реєстрація!A:AB,5,FALSE)</f>
        <v>водний</v>
      </c>
      <c r="C6" s="119" t="str">
        <f>VLOOKUP(A6,реєстрація!A:AK,6,FALSE)</f>
        <v>І к.с.</v>
      </c>
      <c r="D6" s="118" t="s">
        <v>223</v>
      </c>
      <c r="E6" s="120">
        <v>1</v>
      </c>
      <c r="F6" s="90"/>
      <c r="G6" s="90"/>
      <c r="H6" s="90"/>
      <c r="I6" s="90"/>
      <c r="J6" s="90"/>
      <c r="K6" s="90"/>
      <c r="L6" s="90"/>
      <c r="M6" s="121">
        <f t="shared" si="0"/>
        <v>0</v>
      </c>
      <c r="N6" s="90">
        <v>1</v>
      </c>
      <c r="O6" s="90">
        <v>1</v>
      </c>
      <c r="P6" s="90"/>
      <c r="Q6" s="90"/>
      <c r="R6" s="90"/>
      <c r="S6" s="90"/>
      <c r="T6" s="90"/>
      <c r="U6" s="122">
        <f t="shared" si="1"/>
        <v>2</v>
      </c>
      <c r="V6" s="123">
        <f t="shared" si="2"/>
        <v>17</v>
      </c>
      <c r="W6" s="90"/>
      <c r="X6" s="90"/>
      <c r="Y6" s="90"/>
      <c r="Z6" s="90"/>
      <c r="AA6" s="90"/>
      <c r="AB6" s="90"/>
      <c r="AC6" s="90"/>
      <c r="AD6" s="90"/>
      <c r="AE6" s="90">
        <v>3</v>
      </c>
      <c r="AF6" s="90"/>
      <c r="AG6" s="90"/>
      <c r="AH6" s="121">
        <f t="shared" si="3"/>
        <v>3</v>
      </c>
      <c r="AI6" s="90"/>
      <c r="AJ6" s="90"/>
      <c r="AK6" s="90"/>
      <c r="AL6" s="90">
        <v>1</v>
      </c>
      <c r="AM6" s="122">
        <f t="shared" si="4"/>
        <v>1</v>
      </c>
      <c r="AN6" s="123">
        <f t="shared" si="5"/>
        <v>13</v>
      </c>
      <c r="AO6" s="124"/>
      <c r="AP6" s="90"/>
      <c r="AQ6" s="90">
        <v>2</v>
      </c>
      <c r="AR6" s="90"/>
      <c r="AS6" s="123">
        <f t="shared" si="6"/>
        <v>17</v>
      </c>
      <c r="AT6" s="90"/>
      <c r="AU6" s="90">
        <v>2</v>
      </c>
      <c r="AV6" s="90"/>
      <c r="AW6" s="90"/>
      <c r="AX6" s="90"/>
      <c r="AY6" s="90">
        <v>1</v>
      </c>
      <c r="AZ6" s="90"/>
      <c r="BA6" s="121">
        <f t="shared" si="7"/>
        <v>3</v>
      </c>
      <c r="BB6" s="90"/>
      <c r="BC6" s="90">
        <v>1</v>
      </c>
      <c r="BD6" s="90"/>
      <c r="BE6" s="90">
        <v>1</v>
      </c>
      <c r="BF6" s="90"/>
      <c r="BG6" s="90"/>
      <c r="BH6" s="90">
        <v>2</v>
      </c>
      <c r="BI6" s="90"/>
      <c r="BJ6" s="90"/>
      <c r="BK6" s="90"/>
      <c r="BL6" s="122">
        <f t="shared" si="8"/>
        <v>4</v>
      </c>
      <c r="BM6" s="123">
        <f t="shared" si="9"/>
        <v>41</v>
      </c>
      <c r="BN6" s="90"/>
      <c r="BO6" s="90"/>
      <c r="BP6" s="90">
        <v>1</v>
      </c>
      <c r="BQ6" s="90"/>
      <c r="BR6" s="90">
        <v>1</v>
      </c>
      <c r="BS6" s="90"/>
      <c r="BT6" s="90"/>
      <c r="BU6" s="90"/>
      <c r="BV6" s="90">
        <v>3</v>
      </c>
      <c r="BW6" s="90"/>
      <c r="BX6" s="90"/>
      <c r="BY6" s="90"/>
      <c r="BZ6" s="121">
        <f t="shared" si="10"/>
        <v>5</v>
      </c>
      <c r="CA6" s="90"/>
      <c r="CB6" s="90"/>
      <c r="CC6" s="122">
        <f t="shared" si="11"/>
        <v>0</v>
      </c>
      <c r="CD6" s="123">
        <f t="shared" si="12"/>
        <v>10</v>
      </c>
      <c r="CE6" s="125">
        <f t="shared" si="13"/>
        <v>98</v>
      </c>
      <c r="CF6" s="126" t="str">
        <f t="shared" si="14"/>
        <v>9с</v>
      </c>
      <c r="CG6" s="127" t="str">
        <f t="shared" si="15"/>
        <v>водний</v>
      </c>
      <c r="CH6" s="120" t="str">
        <f t="shared" si="16"/>
        <v>І к.с.</v>
      </c>
      <c r="CI6" s="90">
        <f>CE6</f>
        <v>98</v>
      </c>
      <c r="CJ6" s="90">
        <f>CE7</f>
        <v>81</v>
      </c>
      <c r="CK6" s="90">
        <f>CE8</f>
        <v>80</v>
      </c>
      <c r="CL6" s="90"/>
      <c r="CO6" s="129"/>
    </row>
    <row r="7" spans="1:93" s="128" customFormat="1" ht="16.5" customHeight="1">
      <c r="A7" s="90" t="s">
        <v>186</v>
      </c>
      <c r="B7" s="118" t="str">
        <f>VLOOKUP(A7,реєстрація!A:AB,5,FALSE)</f>
        <v>водний</v>
      </c>
      <c r="C7" s="119" t="str">
        <f>VLOOKUP(A7,реєстрація!A:AK,6,FALSE)</f>
        <v>І к.с.</v>
      </c>
      <c r="D7" s="127" t="s">
        <v>224</v>
      </c>
      <c r="E7" s="90">
        <v>2</v>
      </c>
      <c r="F7" s="90">
        <v>2</v>
      </c>
      <c r="G7" s="90"/>
      <c r="H7" s="90"/>
      <c r="I7" s="90"/>
      <c r="J7" s="90"/>
      <c r="K7" s="90"/>
      <c r="L7" s="90"/>
      <c r="M7" s="121">
        <f t="shared" si="0"/>
        <v>2</v>
      </c>
      <c r="N7" s="90">
        <v>1</v>
      </c>
      <c r="O7" s="90">
        <v>1</v>
      </c>
      <c r="P7" s="90"/>
      <c r="Q7" s="90"/>
      <c r="R7" s="90"/>
      <c r="S7" s="90"/>
      <c r="T7" s="90"/>
      <c r="U7" s="122">
        <f t="shared" si="1"/>
        <v>2</v>
      </c>
      <c r="V7" s="123">
        <f t="shared" si="2"/>
        <v>15</v>
      </c>
      <c r="W7" s="90"/>
      <c r="X7" s="90">
        <v>3</v>
      </c>
      <c r="Y7" s="90">
        <v>1</v>
      </c>
      <c r="Z7" s="90"/>
      <c r="AA7" s="90"/>
      <c r="AB7" s="90"/>
      <c r="AC7" s="90"/>
      <c r="AD7" s="90"/>
      <c r="AE7" s="90">
        <v>3</v>
      </c>
      <c r="AF7" s="90"/>
      <c r="AG7" s="90"/>
      <c r="AH7" s="121">
        <f t="shared" si="3"/>
        <v>7</v>
      </c>
      <c r="AI7" s="90"/>
      <c r="AJ7" s="90"/>
      <c r="AK7" s="90"/>
      <c r="AL7" s="90">
        <v>1</v>
      </c>
      <c r="AM7" s="122">
        <f t="shared" si="4"/>
        <v>1</v>
      </c>
      <c r="AN7" s="123">
        <f t="shared" si="5"/>
        <v>9</v>
      </c>
      <c r="AO7" s="124"/>
      <c r="AP7" s="90"/>
      <c r="AQ7" s="90"/>
      <c r="AR7" s="90"/>
      <c r="AS7" s="123">
        <f t="shared" si="6"/>
        <v>15</v>
      </c>
      <c r="AT7" s="90"/>
      <c r="AU7" s="90"/>
      <c r="AV7" s="90"/>
      <c r="AW7" s="90"/>
      <c r="AX7" s="90"/>
      <c r="AY7" s="90">
        <v>3</v>
      </c>
      <c r="AZ7" s="90"/>
      <c r="BA7" s="121">
        <f t="shared" si="7"/>
        <v>3</v>
      </c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122">
        <f t="shared" si="8"/>
        <v>0</v>
      </c>
      <c r="BM7" s="123">
        <f t="shared" si="9"/>
        <v>37</v>
      </c>
      <c r="BN7" s="90"/>
      <c r="BO7" s="90"/>
      <c r="BP7" s="90">
        <v>1</v>
      </c>
      <c r="BQ7" s="90">
        <v>1</v>
      </c>
      <c r="BR7" s="90"/>
      <c r="BS7" s="90"/>
      <c r="BT7" s="90"/>
      <c r="BU7" s="90">
        <v>5</v>
      </c>
      <c r="BV7" s="90">
        <v>2</v>
      </c>
      <c r="BW7" s="90">
        <v>1</v>
      </c>
      <c r="BX7" s="90"/>
      <c r="BY7" s="90"/>
      <c r="BZ7" s="121">
        <f t="shared" si="10"/>
        <v>10</v>
      </c>
      <c r="CA7" s="90"/>
      <c r="CB7" s="90"/>
      <c r="CC7" s="122">
        <f t="shared" si="11"/>
        <v>0</v>
      </c>
      <c r="CD7" s="123">
        <f t="shared" si="12"/>
        <v>5</v>
      </c>
      <c r="CE7" s="125">
        <f t="shared" si="13"/>
        <v>81</v>
      </c>
      <c r="CF7" s="126" t="str">
        <f t="shared" si="14"/>
        <v>9с</v>
      </c>
      <c r="CG7" s="127" t="str">
        <f t="shared" si="15"/>
        <v>водний</v>
      </c>
      <c r="CH7" s="120" t="str">
        <f t="shared" si="16"/>
        <v>І к.с.</v>
      </c>
      <c r="CI7" s="90"/>
      <c r="CJ7" s="90"/>
      <c r="CK7" s="90"/>
      <c r="CL7" s="90"/>
      <c r="CO7" s="129"/>
    </row>
    <row r="8" spans="1:93" s="128" customFormat="1" ht="16.5" customHeight="1">
      <c r="A8" s="90" t="s">
        <v>186</v>
      </c>
      <c r="B8" s="118" t="str">
        <f>VLOOKUP(A8,реєстрація!A:AB,5,FALSE)</f>
        <v>водний</v>
      </c>
      <c r="C8" s="119" t="str">
        <f>VLOOKUP(A8,реєстрація!A:AK,6,FALSE)</f>
        <v>І к.с.</v>
      </c>
      <c r="D8" s="118" t="s">
        <v>225</v>
      </c>
      <c r="E8" s="90">
        <v>3</v>
      </c>
      <c r="F8" s="90">
        <v>2</v>
      </c>
      <c r="G8" s="90"/>
      <c r="H8" s="90"/>
      <c r="I8" s="90"/>
      <c r="J8" s="90"/>
      <c r="K8" s="90"/>
      <c r="L8" s="90"/>
      <c r="M8" s="121">
        <f t="shared" si="0"/>
        <v>2</v>
      </c>
      <c r="N8" s="90"/>
      <c r="O8" s="90">
        <v>2</v>
      </c>
      <c r="P8" s="90"/>
      <c r="Q8" s="90"/>
      <c r="R8" s="90"/>
      <c r="S8" s="90"/>
      <c r="T8" s="90"/>
      <c r="U8" s="122">
        <f t="shared" si="1"/>
        <v>2</v>
      </c>
      <c r="V8" s="123">
        <f t="shared" si="2"/>
        <v>15</v>
      </c>
      <c r="W8" s="90">
        <v>2</v>
      </c>
      <c r="X8" s="90"/>
      <c r="Y8" s="90"/>
      <c r="Z8" s="90"/>
      <c r="AA8" s="90"/>
      <c r="AB8" s="90">
        <v>2</v>
      </c>
      <c r="AC8" s="90"/>
      <c r="AD8" s="90"/>
      <c r="AE8" s="90">
        <v>2</v>
      </c>
      <c r="AF8" s="90"/>
      <c r="AG8" s="90"/>
      <c r="AH8" s="121">
        <f t="shared" si="3"/>
        <v>6</v>
      </c>
      <c r="AI8" s="90"/>
      <c r="AJ8" s="90"/>
      <c r="AK8" s="90"/>
      <c r="AL8" s="90">
        <v>2</v>
      </c>
      <c r="AM8" s="122">
        <f t="shared" si="4"/>
        <v>2</v>
      </c>
      <c r="AN8" s="123">
        <f t="shared" si="5"/>
        <v>11</v>
      </c>
      <c r="AO8" s="124"/>
      <c r="AP8" s="90"/>
      <c r="AQ8" s="90"/>
      <c r="AR8" s="90"/>
      <c r="AS8" s="123">
        <f t="shared" si="6"/>
        <v>15</v>
      </c>
      <c r="AT8" s="90">
        <v>2</v>
      </c>
      <c r="AU8" s="90">
        <v>2</v>
      </c>
      <c r="AV8" s="90"/>
      <c r="AW8" s="90"/>
      <c r="AX8" s="90"/>
      <c r="AY8" s="90">
        <v>3</v>
      </c>
      <c r="AZ8" s="90">
        <v>1</v>
      </c>
      <c r="BA8" s="121">
        <f t="shared" si="7"/>
        <v>8</v>
      </c>
      <c r="BB8" s="90"/>
      <c r="BC8" s="90"/>
      <c r="BD8" s="90"/>
      <c r="BE8" s="90"/>
      <c r="BF8" s="90">
        <v>1</v>
      </c>
      <c r="BG8" s="90"/>
      <c r="BH8" s="90"/>
      <c r="BI8" s="90"/>
      <c r="BJ8" s="90"/>
      <c r="BK8" s="90"/>
      <c r="BL8" s="122">
        <f t="shared" si="8"/>
        <v>1</v>
      </c>
      <c r="BM8" s="123">
        <f t="shared" si="9"/>
        <v>33</v>
      </c>
      <c r="BN8" s="90"/>
      <c r="BO8" s="90"/>
      <c r="BP8" s="90"/>
      <c r="BQ8" s="90"/>
      <c r="BR8" s="90"/>
      <c r="BS8" s="90"/>
      <c r="BT8" s="90"/>
      <c r="BU8" s="90">
        <v>8</v>
      </c>
      <c r="BV8" s="90"/>
      <c r="BW8" s="90"/>
      <c r="BX8" s="90">
        <v>1</v>
      </c>
      <c r="BY8" s="90"/>
      <c r="BZ8" s="121">
        <f t="shared" si="10"/>
        <v>9</v>
      </c>
      <c r="CA8" s="90"/>
      <c r="CB8" s="90"/>
      <c r="CC8" s="122">
        <f t="shared" si="11"/>
        <v>0</v>
      </c>
      <c r="CD8" s="123">
        <f t="shared" si="12"/>
        <v>6</v>
      </c>
      <c r="CE8" s="125">
        <f t="shared" si="13"/>
        <v>80</v>
      </c>
      <c r="CF8" s="126" t="str">
        <f t="shared" si="14"/>
        <v>9с</v>
      </c>
      <c r="CG8" s="127" t="str">
        <f t="shared" si="15"/>
        <v>водний</v>
      </c>
      <c r="CH8" s="120" t="str">
        <f t="shared" si="16"/>
        <v>І к.с.</v>
      </c>
      <c r="CI8" s="90"/>
      <c r="CJ8" s="90"/>
      <c r="CK8" s="90"/>
      <c r="CL8" s="90"/>
      <c r="CO8" s="129"/>
    </row>
    <row r="9" spans="1:93" s="128" customFormat="1" ht="16.5" customHeight="1">
      <c r="A9" s="90" t="s">
        <v>187</v>
      </c>
      <c r="B9" s="118" t="str">
        <f>VLOOKUP(A9,реєстрація!A:AB,5,FALSE)</f>
        <v>водний</v>
      </c>
      <c r="C9" s="119" t="str">
        <f>VLOOKUP(A9,реєстрація!A:AK,6,FALSE)</f>
        <v>І к.с.</v>
      </c>
      <c r="D9" s="127" t="s">
        <v>223</v>
      </c>
      <c r="E9" s="90">
        <v>1</v>
      </c>
      <c r="F9" s="90">
        <v>2</v>
      </c>
      <c r="G9" s="90"/>
      <c r="H9" s="90"/>
      <c r="I9" s="90"/>
      <c r="J9" s="90"/>
      <c r="K9" s="90"/>
      <c r="L9" s="90"/>
      <c r="M9" s="121">
        <f t="shared" si="0"/>
        <v>2</v>
      </c>
      <c r="N9" s="90"/>
      <c r="O9" s="90">
        <v>1</v>
      </c>
      <c r="P9" s="90"/>
      <c r="Q9" s="90"/>
      <c r="R9" s="90"/>
      <c r="S9" s="90"/>
      <c r="T9" s="90"/>
      <c r="U9" s="122">
        <f t="shared" si="1"/>
        <v>1</v>
      </c>
      <c r="V9" s="123">
        <f t="shared" si="2"/>
        <v>14</v>
      </c>
      <c r="W9" s="90"/>
      <c r="X9" s="90"/>
      <c r="Y9" s="90"/>
      <c r="Z9" s="90"/>
      <c r="AA9" s="90"/>
      <c r="AB9" s="90">
        <v>1</v>
      </c>
      <c r="AC9" s="90"/>
      <c r="AD9" s="90"/>
      <c r="AE9" s="90">
        <v>4</v>
      </c>
      <c r="AF9" s="90"/>
      <c r="AG9" s="90"/>
      <c r="AH9" s="121">
        <f t="shared" si="3"/>
        <v>5</v>
      </c>
      <c r="AI9" s="90"/>
      <c r="AJ9" s="90"/>
      <c r="AK9" s="90"/>
      <c r="AL9" s="90">
        <v>1</v>
      </c>
      <c r="AM9" s="122">
        <f t="shared" si="4"/>
        <v>1</v>
      </c>
      <c r="AN9" s="123">
        <f t="shared" si="5"/>
        <v>11</v>
      </c>
      <c r="AO9" s="124"/>
      <c r="AP9" s="90">
        <v>1</v>
      </c>
      <c r="AQ9" s="90"/>
      <c r="AR9" s="90"/>
      <c r="AS9" s="123">
        <f t="shared" si="6"/>
        <v>16</v>
      </c>
      <c r="AT9" s="90"/>
      <c r="AU9" s="90"/>
      <c r="AV9" s="90"/>
      <c r="AW9" s="90">
        <v>1</v>
      </c>
      <c r="AX9" s="90"/>
      <c r="AY9" s="90"/>
      <c r="AZ9" s="90"/>
      <c r="BA9" s="121">
        <f t="shared" si="7"/>
        <v>1</v>
      </c>
      <c r="BB9" s="90"/>
      <c r="BC9" s="90">
        <v>1</v>
      </c>
      <c r="BD9" s="90"/>
      <c r="BE9" s="90"/>
      <c r="BF9" s="90">
        <v>1</v>
      </c>
      <c r="BG9" s="90">
        <v>1</v>
      </c>
      <c r="BH9" s="90">
        <v>1</v>
      </c>
      <c r="BI9" s="90"/>
      <c r="BJ9" s="90"/>
      <c r="BK9" s="90"/>
      <c r="BL9" s="122">
        <f t="shared" si="8"/>
        <v>4</v>
      </c>
      <c r="BM9" s="123">
        <f t="shared" si="9"/>
        <v>43</v>
      </c>
      <c r="BN9" s="90"/>
      <c r="BO9" s="90"/>
      <c r="BP9" s="90"/>
      <c r="BQ9" s="90">
        <v>1</v>
      </c>
      <c r="BR9" s="90"/>
      <c r="BS9" s="90"/>
      <c r="BT9" s="90"/>
      <c r="BU9" s="90"/>
      <c r="BV9" s="90"/>
      <c r="BW9" s="90"/>
      <c r="BX9" s="90"/>
      <c r="BY9" s="90"/>
      <c r="BZ9" s="121">
        <f t="shared" si="10"/>
        <v>1</v>
      </c>
      <c r="CA9" s="90"/>
      <c r="CB9" s="90"/>
      <c r="CC9" s="122">
        <f t="shared" si="11"/>
        <v>0</v>
      </c>
      <c r="CD9" s="123">
        <f t="shared" si="12"/>
        <v>14</v>
      </c>
      <c r="CE9" s="125">
        <f t="shared" si="13"/>
        <v>98</v>
      </c>
      <c r="CF9" s="126" t="str">
        <f t="shared" si="14"/>
        <v>10с</v>
      </c>
      <c r="CG9" s="127" t="str">
        <f t="shared" si="15"/>
        <v>водний</v>
      </c>
      <c r="CH9" s="120" t="str">
        <f t="shared" si="16"/>
        <v>І к.с.</v>
      </c>
      <c r="CI9" s="90">
        <f>CE9</f>
        <v>98</v>
      </c>
      <c r="CJ9" s="90">
        <f>CE10</f>
        <v>87</v>
      </c>
      <c r="CK9" s="90">
        <f>CE11</f>
        <v>95</v>
      </c>
      <c r="CL9" s="90"/>
      <c r="CO9" s="129"/>
    </row>
    <row r="10" spans="1:93" s="128" customFormat="1" ht="16.5" customHeight="1">
      <c r="A10" s="90" t="s">
        <v>187</v>
      </c>
      <c r="B10" s="118" t="str">
        <f>VLOOKUP(A10,реєстрація!A:AB,5,FALSE)</f>
        <v>водний</v>
      </c>
      <c r="C10" s="119" t="str">
        <f>VLOOKUP(A10,реєстрація!A:AK,6,FALSE)</f>
        <v>І к.с.</v>
      </c>
      <c r="D10" s="118" t="s">
        <v>226</v>
      </c>
      <c r="E10" s="90">
        <v>2</v>
      </c>
      <c r="F10" s="90">
        <v>1</v>
      </c>
      <c r="G10" s="90"/>
      <c r="H10" s="90"/>
      <c r="I10" s="90"/>
      <c r="J10" s="90"/>
      <c r="K10" s="90"/>
      <c r="L10" s="90"/>
      <c r="M10" s="121">
        <f t="shared" si="0"/>
        <v>1</v>
      </c>
      <c r="N10" s="90"/>
      <c r="O10" s="90"/>
      <c r="P10" s="90"/>
      <c r="Q10" s="90"/>
      <c r="R10" s="90"/>
      <c r="S10" s="90"/>
      <c r="T10" s="90"/>
      <c r="U10" s="122">
        <f t="shared" si="1"/>
        <v>0</v>
      </c>
      <c r="V10" s="123">
        <f t="shared" si="2"/>
        <v>14</v>
      </c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121">
        <f t="shared" si="3"/>
        <v>0</v>
      </c>
      <c r="AI10" s="90"/>
      <c r="AJ10" s="90"/>
      <c r="AK10" s="90"/>
      <c r="AL10" s="90"/>
      <c r="AM10" s="122">
        <f t="shared" si="4"/>
        <v>0</v>
      </c>
      <c r="AN10" s="123">
        <f t="shared" si="5"/>
        <v>15</v>
      </c>
      <c r="AO10" s="124"/>
      <c r="AP10" s="90">
        <v>1</v>
      </c>
      <c r="AQ10" s="90"/>
      <c r="AR10" s="90"/>
      <c r="AS10" s="123">
        <f t="shared" si="6"/>
        <v>16</v>
      </c>
      <c r="AT10" s="90">
        <v>1</v>
      </c>
      <c r="AU10" s="90">
        <v>2</v>
      </c>
      <c r="AV10" s="90"/>
      <c r="AW10" s="90">
        <v>10</v>
      </c>
      <c r="AX10" s="90"/>
      <c r="AY10" s="90"/>
      <c r="AZ10" s="90"/>
      <c r="BA10" s="121">
        <f t="shared" si="7"/>
        <v>13</v>
      </c>
      <c r="BB10" s="90"/>
      <c r="BC10" s="90"/>
      <c r="BD10" s="90"/>
      <c r="BE10" s="90">
        <v>1</v>
      </c>
      <c r="BF10" s="90"/>
      <c r="BG10" s="90">
        <v>1</v>
      </c>
      <c r="BH10" s="90"/>
      <c r="BI10" s="90"/>
      <c r="BJ10" s="90"/>
      <c r="BK10" s="90"/>
      <c r="BL10" s="122">
        <f t="shared" si="8"/>
        <v>2</v>
      </c>
      <c r="BM10" s="123">
        <f t="shared" si="9"/>
        <v>29</v>
      </c>
      <c r="BN10" s="90"/>
      <c r="BO10" s="90"/>
      <c r="BP10" s="90">
        <v>2</v>
      </c>
      <c r="BQ10" s="90"/>
      <c r="BR10" s="90"/>
      <c r="BS10" s="90"/>
      <c r="BT10" s="90"/>
      <c r="BU10" s="90"/>
      <c r="BV10" s="90"/>
      <c r="BW10" s="90"/>
      <c r="BX10" s="90"/>
      <c r="BY10" s="90"/>
      <c r="BZ10" s="121">
        <f t="shared" si="10"/>
        <v>2</v>
      </c>
      <c r="CA10" s="90"/>
      <c r="CB10" s="90"/>
      <c r="CC10" s="122">
        <f t="shared" si="11"/>
        <v>0</v>
      </c>
      <c r="CD10" s="123">
        <f t="shared" si="12"/>
        <v>13</v>
      </c>
      <c r="CE10" s="125">
        <f t="shared" si="13"/>
        <v>87</v>
      </c>
      <c r="CF10" s="126" t="str">
        <f t="shared" si="14"/>
        <v>10с</v>
      </c>
      <c r="CG10" s="127" t="str">
        <f t="shared" si="15"/>
        <v>водний</v>
      </c>
      <c r="CH10" s="120" t="str">
        <f t="shared" si="16"/>
        <v>І к.с.</v>
      </c>
      <c r="CI10" s="90"/>
      <c r="CJ10" s="90"/>
      <c r="CK10" s="90"/>
      <c r="CL10" s="90"/>
      <c r="CO10" s="129"/>
    </row>
    <row r="11" spans="1:93" s="128" customFormat="1" ht="16.5" customHeight="1">
      <c r="A11" s="90" t="s">
        <v>187</v>
      </c>
      <c r="B11" s="118" t="str">
        <f>VLOOKUP(A11,реєстрація!A:AB,5,FALSE)</f>
        <v>водний</v>
      </c>
      <c r="C11" s="119" t="str">
        <f>VLOOKUP(A11,реєстрація!A:AK,6,FALSE)</f>
        <v>І к.с.</v>
      </c>
      <c r="D11" s="127" t="s">
        <v>225</v>
      </c>
      <c r="E11" s="120">
        <v>3</v>
      </c>
      <c r="F11" s="90">
        <v>2</v>
      </c>
      <c r="G11" s="90"/>
      <c r="H11" s="90">
        <v>2</v>
      </c>
      <c r="I11" s="90"/>
      <c r="J11" s="90"/>
      <c r="K11" s="90"/>
      <c r="L11" s="90"/>
      <c r="M11" s="121">
        <f t="shared" si="0"/>
        <v>4</v>
      </c>
      <c r="N11" s="90"/>
      <c r="O11" s="90"/>
      <c r="P11" s="90"/>
      <c r="Q11" s="90">
        <v>1</v>
      </c>
      <c r="R11" s="90"/>
      <c r="S11" s="90"/>
      <c r="T11" s="90"/>
      <c r="U11" s="122">
        <f t="shared" si="1"/>
        <v>1</v>
      </c>
      <c r="V11" s="123">
        <f t="shared" si="2"/>
        <v>12</v>
      </c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121">
        <f t="shared" si="3"/>
        <v>0</v>
      </c>
      <c r="AI11" s="90"/>
      <c r="AJ11" s="90"/>
      <c r="AK11" s="90"/>
      <c r="AL11" s="90"/>
      <c r="AM11" s="122">
        <f t="shared" si="4"/>
        <v>0</v>
      </c>
      <c r="AN11" s="123">
        <f t="shared" si="5"/>
        <v>15</v>
      </c>
      <c r="AO11" s="124"/>
      <c r="AP11" s="90"/>
      <c r="AQ11" s="90"/>
      <c r="AR11" s="90"/>
      <c r="AS11" s="123">
        <f t="shared" si="6"/>
        <v>15</v>
      </c>
      <c r="AT11" s="90"/>
      <c r="AU11" s="90">
        <v>3</v>
      </c>
      <c r="AV11" s="90"/>
      <c r="AW11" s="90"/>
      <c r="AX11" s="90"/>
      <c r="AY11" s="90"/>
      <c r="AZ11" s="90"/>
      <c r="BA11" s="121">
        <f t="shared" si="7"/>
        <v>3</v>
      </c>
      <c r="BB11" s="90"/>
      <c r="BC11" s="90"/>
      <c r="BD11" s="90"/>
      <c r="BE11" s="90"/>
      <c r="BF11" s="90">
        <v>2</v>
      </c>
      <c r="BG11" s="90">
        <v>1</v>
      </c>
      <c r="BH11" s="90">
        <v>1</v>
      </c>
      <c r="BI11" s="90"/>
      <c r="BJ11" s="90"/>
      <c r="BK11" s="90"/>
      <c r="BL11" s="122">
        <f t="shared" si="8"/>
        <v>4</v>
      </c>
      <c r="BM11" s="123">
        <f t="shared" si="9"/>
        <v>41</v>
      </c>
      <c r="BN11" s="90"/>
      <c r="BO11" s="90"/>
      <c r="BP11" s="90"/>
      <c r="BQ11" s="90">
        <v>1</v>
      </c>
      <c r="BR11" s="90"/>
      <c r="BS11" s="90"/>
      <c r="BT11" s="90">
        <v>1</v>
      </c>
      <c r="BU11" s="90"/>
      <c r="BV11" s="90"/>
      <c r="BW11" s="90"/>
      <c r="BX11" s="90">
        <v>1</v>
      </c>
      <c r="BY11" s="90"/>
      <c r="BZ11" s="121">
        <f t="shared" si="10"/>
        <v>3</v>
      </c>
      <c r="CA11" s="90"/>
      <c r="CB11" s="90"/>
      <c r="CC11" s="122">
        <f t="shared" si="11"/>
        <v>0</v>
      </c>
      <c r="CD11" s="123">
        <f t="shared" si="12"/>
        <v>12</v>
      </c>
      <c r="CE11" s="125">
        <f t="shared" si="13"/>
        <v>95</v>
      </c>
      <c r="CF11" s="126" t="str">
        <f t="shared" si="14"/>
        <v>10с</v>
      </c>
      <c r="CG11" s="127" t="str">
        <f t="shared" si="15"/>
        <v>водний</v>
      </c>
      <c r="CH11" s="120" t="str">
        <f t="shared" si="16"/>
        <v>І к.с.</v>
      </c>
      <c r="CI11" s="90"/>
      <c r="CJ11" s="90"/>
      <c r="CK11" s="90"/>
      <c r="CL11" s="90"/>
      <c r="CO11" s="129"/>
    </row>
    <row r="12" spans="1:93" s="128" customFormat="1" ht="16.5" customHeight="1">
      <c r="A12" s="90" t="s">
        <v>191</v>
      </c>
      <c r="B12" s="118" t="str">
        <f>VLOOKUP(A12,реєстрація!A:AB,5,FALSE)</f>
        <v>водний</v>
      </c>
      <c r="C12" s="119" t="str">
        <f>VLOOKUP(A12,реєстрація!A:AK,6,FALSE)</f>
        <v>ІІ к.с. </v>
      </c>
      <c r="D12" s="127" t="s">
        <v>222</v>
      </c>
      <c r="E12" s="120">
        <v>1</v>
      </c>
      <c r="F12" s="90"/>
      <c r="G12" s="90"/>
      <c r="H12" s="90"/>
      <c r="I12" s="90"/>
      <c r="J12" s="90"/>
      <c r="K12" s="90"/>
      <c r="L12" s="90"/>
      <c r="M12" s="121">
        <f t="shared" si="0"/>
        <v>0</v>
      </c>
      <c r="N12" s="90"/>
      <c r="O12" s="90"/>
      <c r="P12" s="90"/>
      <c r="Q12" s="90"/>
      <c r="R12" s="90"/>
      <c r="S12" s="90"/>
      <c r="T12" s="90"/>
      <c r="U12" s="122">
        <f t="shared" si="1"/>
        <v>0</v>
      </c>
      <c r="V12" s="123">
        <f t="shared" si="2"/>
        <v>15</v>
      </c>
      <c r="W12" s="90"/>
      <c r="X12" s="90"/>
      <c r="Y12" s="90"/>
      <c r="Z12" s="90"/>
      <c r="AA12" s="90"/>
      <c r="AB12" s="90"/>
      <c r="AC12" s="90"/>
      <c r="AD12" s="90"/>
      <c r="AE12" s="90"/>
      <c r="AF12" s="90">
        <v>4</v>
      </c>
      <c r="AG12" s="90"/>
      <c r="AH12" s="121">
        <f t="shared" si="3"/>
        <v>4</v>
      </c>
      <c r="AI12" s="90"/>
      <c r="AJ12" s="90"/>
      <c r="AK12" s="90"/>
      <c r="AL12" s="90"/>
      <c r="AM12" s="122">
        <f t="shared" si="4"/>
        <v>0</v>
      </c>
      <c r="AN12" s="123">
        <f t="shared" si="5"/>
        <v>11</v>
      </c>
      <c r="AO12" s="124"/>
      <c r="AP12" s="90">
        <v>2</v>
      </c>
      <c r="AQ12" s="90">
        <v>2</v>
      </c>
      <c r="AR12" s="90"/>
      <c r="AS12" s="123">
        <f t="shared" si="6"/>
        <v>19</v>
      </c>
      <c r="AT12" s="90">
        <v>3</v>
      </c>
      <c r="AU12" s="90">
        <v>2</v>
      </c>
      <c r="AV12" s="90"/>
      <c r="AW12" s="90">
        <v>2</v>
      </c>
      <c r="AX12" s="90"/>
      <c r="AY12" s="90"/>
      <c r="AZ12" s="90">
        <v>1</v>
      </c>
      <c r="BA12" s="121">
        <f t="shared" si="7"/>
        <v>8</v>
      </c>
      <c r="BB12" s="90"/>
      <c r="BC12" s="90"/>
      <c r="BD12" s="90"/>
      <c r="BE12" s="90">
        <v>2</v>
      </c>
      <c r="BF12" s="90">
        <v>2</v>
      </c>
      <c r="BG12" s="90">
        <v>2</v>
      </c>
      <c r="BH12" s="90">
        <v>3</v>
      </c>
      <c r="BI12" s="90">
        <v>2</v>
      </c>
      <c r="BJ12" s="90"/>
      <c r="BK12" s="90"/>
      <c r="BL12" s="122">
        <f t="shared" si="8"/>
        <v>11</v>
      </c>
      <c r="BM12" s="123">
        <f t="shared" si="9"/>
        <v>43</v>
      </c>
      <c r="BN12" s="90">
        <v>2</v>
      </c>
      <c r="BO12" s="90"/>
      <c r="BP12" s="90"/>
      <c r="BQ12" s="90"/>
      <c r="BR12" s="90"/>
      <c r="BS12" s="90">
        <v>1</v>
      </c>
      <c r="BT12" s="90"/>
      <c r="BU12" s="90"/>
      <c r="BV12" s="90"/>
      <c r="BW12" s="90"/>
      <c r="BX12" s="90"/>
      <c r="BY12" s="90">
        <v>3</v>
      </c>
      <c r="BZ12" s="121">
        <f t="shared" si="10"/>
        <v>6</v>
      </c>
      <c r="CA12" s="90"/>
      <c r="CB12" s="90"/>
      <c r="CC12" s="122">
        <f t="shared" si="11"/>
        <v>0</v>
      </c>
      <c r="CD12" s="123">
        <f t="shared" si="12"/>
        <v>9</v>
      </c>
      <c r="CE12" s="125">
        <f t="shared" si="13"/>
        <v>97</v>
      </c>
      <c r="CF12" s="126" t="str">
        <f t="shared" si="14"/>
        <v>14с</v>
      </c>
      <c r="CG12" s="127" t="str">
        <f t="shared" si="15"/>
        <v>водний</v>
      </c>
      <c r="CH12" s="120" t="str">
        <f t="shared" si="16"/>
        <v>ІІ к.с. </v>
      </c>
      <c r="CI12" s="90">
        <f>CE12</f>
        <v>97</v>
      </c>
      <c r="CJ12" s="90">
        <f>CE13</f>
        <v>103</v>
      </c>
      <c r="CK12" s="90">
        <f>CE14</f>
        <v>105</v>
      </c>
      <c r="CL12" s="90"/>
      <c r="CO12" s="129"/>
    </row>
    <row r="13" spans="1:93" s="128" customFormat="1" ht="16.5" customHeight="1">
      <c r="A13" s="90" t="s">
        <v>191</v>
      </c>
      <c r="B13" s="118" t="str">
        <f>VLOOKUP(A13,реєстрація!A:AB,5,FALSE)</f>
        <v>водний</v>
      </c>
      <c r="C13" s="119" t="str">
        <f>VLOOKUP(A13,реєстрація!A:AK,6,FALSE)</f>
        <v>ІІ к.с. </v>
      </c>
      <c r="D13" s="127" t="s">
        <v>230</v>
      </c>
      <c r="E13" s="120">
        <v>2</v>
      </c>
      <c r="F13" s="90"/>
      <c r="G13" s="90"/>
      <c r="H13" s="90"/>
      <c r="I13" s="90"/>
      <c r="J13" s="90"/>
      <c r="K13" s="90"/>
      <c r="L13" s="90"/>
      <c r="M13" s="121">
        <f t="shared" si="0"/>
        <v>0</v>
      </c>
      <c r="N13" s="90"/>
      <c r="O13" s="90"/>
      <c r="P13" s="90"/>
      <c r="Q13" s="90"/>
      <c r="R13" s="90"/>
      <c r="S13" s="90"/>
      <c r="T13" s="90"/>
      <c r="U13" s="122">
        <f t="shared" si="1"/>
        <v>0</v>
      </c>
      <c r="V13" s="123">
        <f t="shared" si="2"/>
        <v>15</v>
      </c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121">
        <f t="shared" si="3"/>
        <v>0</v>
      </c>
      <c r="AI13" s="90"/>
      <c r="AJ13" s="90"/>
      <c r="AK13" s="90"/>
      <c r="AL13" s="90"/>
      <c r="AM13" s="122">
        <f t="shared" si="4"/>
        <v>0</v>
      </c>
      <c r="AN13" s="123">
        <f t="shared" si="5"/>
        <v>15</v>
      </c>
      <c r="AO13" s="124"/>
      <c r="AP13" s="90"/>
      <c r="AQ13" s="90"/>
      <c r="AR13" s="90"/>
      <c r="AS13" s="123">
        <f t="shared" si="6"/>
        <v>15</v>
      </c>
      <c r="AT13" s="90"/>
      <c r="AU13" s="90"/>
      <c r="AV13" s="90"/>
      <c r="AW13" s="90"/>
      <c r="AX13" s="90"/>
      <c r="AY13" s="90"/>
      <c r="AZ13" s="90"/>
      <c r="BA13" s="121">
        <f t="shared" si="7"/>
        <v>0</v>
      </c>
      <c r="BB13" s="90"/>
      <c r="BC13" s="90"/>
      <c r="BD13" s="90"/>
      <c r="BE13" s="90">
        <v>2</v>
      </c>
      <c r="BF13" s="90">
        <v>2</v>
      </c>
      <c r="BG13" s="90">
        <v>3</v>
      </c>
      <c r="BH13" s="90">
        <v>2</v>
      </c>
      <c r="BI13" s="90"/>
      <c r="BJ13" s="90"/>
      <c r="BK13" s="90"/>
      <c r="BL13" s="122">
        <f t="shared" si="8"/>
        <v>9</v>
      </c>
      <c r="BM13" s="123">
        <f t="shared" si="9"/>
        <v>49</v>
      </c>
      <c r="BN13" s="90">
        <v>2</v>
      </c>
      <c r="BO13" s="90"/>
      <c r="BP13" s="90"/>
      <c r="BQ13" s="90"/>
      <c r="BR13" s="90"/>
      <c r="BS13" s="90"/>
      <c r="BT13" s="90"/>
      <c r="BU13" s="90"/>
      <c r="BV13" s="90">
        <v>2</v>
      </c>
      <c r="BW13" s="90"/>
      <c r="BX13" s="90"/>
      <c r="BY13" s="90">
        <v>2</v>
      </c>
      <c r="BZ13" s="121">
        <f t="shared" si="10"/>
        <v>6</v>
      </c>
      <c r="CA13" s="90"/>
      <c r="CB13" s="90"/>
      <c r="CC13" s="122">
        <f t="shared" si="11"/>
        <v>0</v>
      </c>
      <c r="CD13" s="123">
        <f t="shared" si="12"/>
        <v>9</v>
      </c>
      <c r="CE13" s="125">
        <f t="shared" si="13"/>
        <v>103</v>
      </c>
      <c r="CF13" s="126" t="str">
        <f t="shared" si="14"/>
        <v>14с</v>
      </c>
      <c r="CG13" s="127" t="str">
        <f t="shared" si="15"/>
        <v>водний</v>
      </c>
      <c r="CH13" s="120" t="str">
        <f t="shared" si="16"/>
        <v>ІІ к.с. </v>
      </c>
      <c r="CI13" s="90"/>
      <c r="CJ13" s="90"/>
      <c r="CK13" s="90"/>
      <c r="CL13" s="90"/>
      <c r="CO13" s="129"/>
    </row>
    <row r="14" spans="1:93" s="128" customFormat="1" ht="16.5" customHeight="1">
      <c r="A14" s="90" t="s">
        <v>191</v>
      </c>
      <c r="B14" s="118" t="str">
        <f>VLOOKUP(A14,реєстрація!A:AB,5,FALSE)</f>
        <v>водний</v>
      </c>
      <c r="C14" s="119" t="str">
        <f>VLOOKUP(A14,реєстрація!A:AK,6,FALSE)</f>
        <v>ІІ к.с. </v>
      </c>
      <c r="D14" s="127" t="s">
        <v>231</v>
      </c>
      <c r="E14" s="120">
        <v>3</v>
      </c>
      <c r="F14" s="90"/>
      <c r="G14" s="90"/>
      <c r="H14" s="90"/>
      <c r="I14" s="90"/>
      <c r="J14" s="90"/>
      <c r="K14" s="90"/>
      <c r="L14" s="90"/>
      <c r="M14" s="121">
        <f t="shared" si="0"/>
        <v>0</v>
      </c>
      <c r="N14" s="90"/>
      <c r="O14" s="90"/>
      <c r="P14" s="90"/>
      <c r="Q14" s="90"/>
      <c r="R14" s="90"/>
      <c r="S14" s="90"/>
      <c r="T14" s="90"/>
      <c r="U14" s="122">
        <f t="shared" si="1"/>
        <v>0</v>
      </c>
      <c r="V14" s="123">
        <f t="shared" si="2"/>
        <v>15</v>
      </c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121">
        <f t="shared" si="3"/>
        <v>0</v>
      </c>
      <c r="AI14" s="90"/>
      <c r="AJ14" s="90"/>
      <c r="AK14" s="90"/>
      <c r="AL14" s="90"/>
      <c r="AM14" s="122">
        <f t="shared" si="4"/>
        <v>0</v>
      </c>
      <c r="AN14" s="123">
        <f t="shared" si="5"/>
        <v>15</v>
      </c>
      <c r="AO14" s="124"/>
      <c r="AP14" s="90"/>
      <c r="AQ14" s="90"/>
      <c r="AR14" s="90"/>
      <c r="AS14" s="123">
        <f t="shared" si="6"/>
        <v>15</v>
      </c>
      <c r="AT14" s="90"/>
      <c r="AU14" s="90"/>
      <c r="AV14" s="90"/>
      <c r="AW14" s="90"/>
      <c r="AX14" s="90"/>
      <c r="AY14" s="90"/>
      <c r="AZ14" s="90"/>
      <c r="BA14" s="121">
        <f t="shared" si="7"/>
        <v>0</v>
      </c>
      <c r="BB14" s="90"/>
      <c r="BC14" s="90"/>
      <c r="BD14" s="90"/>
      <c r="BE14" s="90">
        <v>2</v>
      </c>
      <c r="BF14" s="90">
        <v>2</v>
      </c>
      <c r="BG14" s="90">
        <v>2</v>
      </c>
      <c r="BH14" s="90">
        <v>2</v>
      </c>
      <c r="BI14" s="90">
        <v>2</v>
      </c>
      <c r="BJ14" s="90"/>
      <c r="BK14" s="90"/>
      <c r="BL14" s="122">
        <f t="shared" si="8"/>
        <v>10</v>
      </c>
      <c r="BM14" s="123">
        <f t="shared" si="9"/>
        <v>50</v>
      </c>
      <c r="BN14" s="90">
        <v>2</v>
      </c>
      <c r="BO14" s="90"/>
      <c r="BP14" s="90"/>
      <c r="BQ14" s="90"/>
      <c r="BR14" s="90"/>
      <c r="BS14" s="90"/>
      <c r="BT14" s="90"/>
      <c r="BU14" s="90"/>
      <c r="BV14" s="90">
        <v>3</v>
      </c>
      <c r="BW14" s="90"/>
      <c r="BX14" s="90"/>
      <c r="BY14" s="90"/>
      <c r="BZ14" s="121">
        <f t="shared" si="10"/>
        <v>5</v>
      </c>
      <c r="CA14" s="90"/>
      <c r="CB14" s="90"/>
      <c r="CC14" s="122">
        <f t="shared" si="11"/>
        <v>0</v>
      </c>
      <c r="CD14" s="123">
        <f t="shared" si="12"/>
        <v>10</v>
      </c>
      <c r="CE14" s="125">
        <f t="shared" si="13"/>
        <v>105</v>
      </c>
      <c r="CF14" s="126" t="str">
        <f t="shared" si="14"/>
        <v>14с</v>
      </c>
      <c r="CG14" s="127" t="str">
        <f t="shared" si="15"/>
        <v>водний</v>
      </c>
      <c r="CH14" s="120" t="str">
        <f t="shared" si="16"/>
        <v>ІІ к.с. </v>
      </c>
      <c r="CI14" s="90"/>
      <c r="CJ14" s="90"/>
      <c r="CK14" s="90"/>
      <c r="CL14" s="90"/>
      <c r="CO14" s="129"/>
    </row>
    <row r="15" spans="1:93" s="128" customFormat="1" ht="16.5" customHeight="1">
      <c r="A15" s="90" t="s">
        <v>178</v>
      </c>
      <c r="B15" s="118" t="str">
        <f>VLOOKUP(A15,реєстрація!A:AB,5,FALSE)</f>
        <v>водний</v>
      </c>
      <c r="C15" s="119" t="str">
        <f>VLOOKUP(A15,реєстрація!A:AK,6,FALSE)</f>
        <v>І к.с.</v>
      </c>
      <c r="D15" s="127" t="s">
        <v>223</v>
      </c>
      <c r="E15" s="90">
        <v>1</v>
      </c>
      <c r="F15" s="90"/>
      <c r="G15" s="90">
        <v>1</v>
      </c>
      <c r="H15" s="90"/>
      <c r="I15" s="90"/>
      <c r="J15" s="90"/>
      <c r="K15" s="90"/>
      <c r="L15" s="90"/>
      <c r="M15" s="121">
        <f t="shared" si="0"/>
        <v>1</v>
      </c>
      <c r="N15" s="90">
        <v>1</v>
      </c>
      <c r="O15" s="90"/>
      <c r="P15" s="90">
        <v>1</v>
      </c>
      <c r="Q15" s="90"/>
      <c r="R15" s="90"/>
      <c r="S15" s="90"/>
      <c r="T15" s="90"/>
      <c r="U15" s="122">
        <f t="shared" si="1"/>
        <v>2</v>
      </c>
      <c r="V15" s="123">
        <f t="shared" si="2"/>
        <v>16</v>
      </c>
      <c r="W15" s="90"/>
      <c r="X15" s="90"/>
      <c r="Y15" s="90"/>
      <c r="Z15" s="90"/>
      <c r="AA15" s="90"/>
      <c r="AB15" s="90"/>
      <c r="AC15" s="90"/>
      <c r="AD15" s="90"/>
      <c r="AE15" s="90">
        <v>3</v>
      </c>
      <c r="AF15" s="90"/>
      <c r="AG15" s="90"/>
      <c r="AH15" s="121">
        <f t="shared" si="3"/>
        <v>3</v>
      </c>
      <c r="AI15" s="90"/>
      <c r="AJ15" s="90"/>
      <c r="AK15" s="90"/>
      <c r="AL15" s="90">
        <v>3</v>
      </c>
      <c r="AM15" s="122">
        <f t="shared" si="4"/>
        <v>3</v>
      </c>
      <c r="AN15" s="123">
        <f t="shared" si="5"/>
        <v>15</v>
      </c>
      <c r="AO15" s="124"/>
      <c r="AP15" s="90"/>
      <c r="AQ15" s="90">
        <v>1</v>
      </c>
      <c r="AR15" s="90">
        <v>3</v>
      </c>
      <c r="AS15" s="123">
        <f t="shared" si="6"/>
        <v>19</v>
      </c>
      <c r="AT15" s="90">
        <v>1</v>
      </c>
      <c r="AU15" s="90">
        <v>5</v>
      </c>
      <c r="AV15" s="90"/>
      <c r="AW15" s="90"/>
      <c r="AX15" s="90"/>
      <c r="AY15" s="90"/>
      <c r="AZ15" s="90"/>
      <c r="BA15" s="121">
        <f t="shared" si="7"/>
        <v>6</v>
      </c>
      <c r="BB15" s="90"/>
      <c r="BC15" s="90">
        <v>2</v>
      </c>
      <c r="BD15" s="90"/>
      <c r="BE15" s="90">
        <v>2</v>
      </c>
      <c r="BF15" s="90"/>
      <c r="BG15" s="90">
        <v>1</v>
      </c>
      <c r="BH15" s="90">
        <v>2</v>
      </c>
      <c r="BI15" s="90"/>
      <c r="BJ15" s="90"/>
      <c r="BK15" s="90"/>
      <c r="BL15" s="122">
        <f t="shared" si="8"/>
        <v>7</v>
      </c>
      <c r="BM15" s="123">
        <f t="shared" si="9"/>
        <v>41</v>
      </c>
      <c r="BN15" s="90">
        <v>2</v>
      </c>
      <c r="BO15" s="90"/>
      <c r="BP15" s="90"/>
      <c r="BQ15" s="90"/>
      <c r="BR15" s="90"/>
      <c r="BS15" s="90">
        <v>1</v>
      </c>
      <c r="BT15" s="90"/>
      <c r="BU15" s="90"/>
      <c r="BV15" s="90">
        <v>2</v>
      </c>
      <c r="BW15" s="90"/>
      <c r="BX15" s="90"/>
      <c r="BY15" s="90"/>
      <c r="BZ15" s="121">
        <f t="shared" si="10"/>
        <v>5</v>
      </c>
      <c r="CA15" s="90"/>
      <c r="CB15" s="90"/>
      <c r="CC15" s="122">
        <f t="shared" si="11"/>
        <v>0</v>
      </c>
      <c r="CD15" s="123">
        <f t="shared" si="12"/>
        <v>10</v>
      </c>
      <c r="CE15" s="125">
        <f t="shared" si="13"/>
        <v>101</v>
      </c>
      <c r="CF15" s="126" t="str">
        <f t="shared" si="14"/>
        <v>1с</v>
      </c>
      <c r="CG15" s="127" t="str">
        <f t="shared" si="15"/>
        <v>водний</v>
      </c>
      <c r="CH15" s="120" t="str">
        <f t="shared" si="16"/>
        <v>І к.с.</v>
      </c>
      <c r="CI15" s="90">
        <f>CE15</f>
        <v>101</v>
      </c>
      <c r="CJ15" s="90">
        <f>CE16</f>
        <v>94</v>
      </c>
      <c r="CK15" s="90">
        <f>CE17</f>
        <v>82</v>
      </c>
      <c r="CL15" s="90"/>
      <c r="CO15" s="129"/>
    </row>
    <row r="16" spans="1:93" s="128" customFormat="1" ht="16.5" customHeight="1">
      <c r="A16" s="90" t="s">
        <v>178</v>
      </c>
      <c r="B16" s="118" t="str">
        <f>VLOOKUP(A16,реєстрація!A:AB,5,FALSE)</f>
        <v>водний</v>
      </c>
      <c r="C16" s="119" t="str">
        <f>VLOOKUP(A16,реєстрація!A:AK,6,FALSE)</f>
        <v>І к.с.</v>
      </c>
      <c r="D16" s="127" t="s">
        <v>224</v>
      </c>
      <c r="E16" s="90">
        <v>2</v>
      </c>
      <c r="F16" s="90"/>
      <c r="G16" s="90">
        <v>1</v>
      </c>
      <c r="H16" s="90"/>
      <c r="I16" s="90"/>
      <c r="J16" s="90"/>
      <c r="K16" s="90"/>
      <c r="L16" s="90"/>
      <c r="M16" s="121">
        <f t="shared" si="0"/>
        <v>1</v>
      </c>
      <c r="N16" s="90">
        <v>1</v>
      </c>
      <c r="O16" s="90"/>
      <c r="P16" s="90">
        <v>1</v>
      </c>
      <c r="Q16" s="90"/>
      <c r="R16" s="90"/>
      <c r="S16" s="90"/>
      <c r="T16" s="90"/>
      <c r="U16" s="122">
        <f t="shared" si="1"/>
        <v>2</v>
      </c>
      <c r="V16" s="123">
        <f t="shared" si="2"/>
        <v>16</v>
      </c>
      <c r="W16" s="90"/>
      <c r="X16" s="90"/>
      <c r="Y16" s="90"/>
      <c r="Z16" s="90"/>
      <c r="AA16" s="90"/>
      <c r="AB16" s="90"/>
      <c r="AC16" s="90"/>
      <c r="AD16" s="90"/>
      <c r="AE16" s="90">
        <v>2</v>
      </c>
      <c r="AF16" s="90"/>
      <c r="AG16" s="90"/>
      <c r="AH16" s="121">
        <f t="shared" si="3"/>
        <v>2</v>
      </c>
      <c r="AI16" s="90"/>
      <c r="AJ16" s="90"/>
      <c r="AK16" s="90"/>
      <c r="AL16" s="90">
        <v>1</v>
      </c>
      <c r="AM16" s="122">
        <f t="shared" si="4"/>
        <v>1</v>
      </c>
      <c r="AN16" s="123">
        <f t="shared" si="5"/>
        <v>14</v>
      </c>
      <c r="AO16" s="124"/>
      <c r="AP16" s="90"/>
      <c r="AQ16" s="90">
        <v>2</v>
      </c>
      <c r="AR16" s="90"/>
      <c r="AS16" s="123">
        <f t="shared" si="6"/>
        <v>17</v>
      </c>
      <c r="AT16" s="90">
        <v>3</v>
      </c>
      <c r="AU16" s="90">
        <v>3</v>
      </c>
      <c r="AV16" s="90"/>
      <c r="AW16" s="90"/>
      <c r="AX16" s="90"/>
      <c r="AY16" s="90"/>
      <c r="AZ16" s="90"/>
      <c r="BA16" s="121">
        <f t="shared" si="7"/>
        <v>6</v>
      </c>
      <c r="BB16" s="90"/>
      <c r="BC16" s="90"/>
      <c r="BD16" s="90"/>
      <c r="BE16" s="90">
        <v>1</v>
      </c>
      <c r="BF16" s="90">
        <v>1</v>
      </c>
      <c r="BG16" s="90">
        <v>1</v>
      </c>
      <c r="BH16" s="90">
        <v>1</v>
      </c>
      <c r="BI16" s="90"/>
      <c r="BJ16" s="90"/>
      <c r="BK16" s="90"/>
      <c r="BL16" s="122">
        <f t="shared" si="8"/>
        <v>4</v>
      </c>
      <c r="BM16" s="123">
        <f t="shared" si="9"/>
        <v>38</v>
      </c>
      <c r="BN16" s="90"/>
      <c r="BO16" s="90"/>
      <c r="BP16" s="90"/>
      <c r="BQ16" s="90"/>
      <c r="BR16" s="90"/>
      <c r="BS16" s="90">
        <v>2</v>
      </c>
      <c r="BT16" s="90"/>
      <c r="BU16" s="90"/>
      <c r="BV16" s="90">
        <v>4</v>
      </c>
      <c r="BW16" s="90"/>
      <c r="BX16" s="90"/>
      <c r="BY16" s="90"/>
      <c r="BZ16" s="121">
        <f t="shared" si="10"/>
        <v>6</v>
      </c>
      <c r="CA16" s="90"/>
      <c r="CB16" s="90"/>
      <c r="CC16" s="122">
        <f t="shared" si="11"/>
        <v>0</v>
      </c>
      <c r="CD16" s="123">
        <f t="shared" si="12"/>
        <v>9</v>
      </c>
      <c r="CE16" s="125">
        <f t="shared" si="13"/>
        <v>94</v>
      </c>
      <c r="CF16" s="126" t="str">
        <f t="shared" si="14"/>
        <v>1с</v>
      </c>
      <c r="CG16" s="127" t="str">
        <f t="shared" si="15"/>
        <v>водний</v>
      </c>
      <c r="CH16" s="120" t="str">
        <f t="shared" si="16"/>
        <v>І к.с.</v>
      </c>
      <c r="CI16" s="90"/>
      <c r="CJ16" s="90"/>
      <c r="CK16" s="90"/>
      <c r="CL16" s="90"/>
      <c r="CO16" s="129"/>
    </row>
    <row r="17" spans="1:93" s="128" customFormat="1" ht="16.5" customHeight="1">
      <c r="A17" s="90" t="s">
        <v>178</v>
      </c>
      <c r="B17" s="118" t="str">
        <f>VLOOKUP(A17,реєстрація!A:AB,5,FALSE)</f>
        <v>водний</v>
      </c>
      <c r="C17" s="119" t="str">
        <f>VLOOKUP(A17,реєстрація!A:AK,6,FALSE)</f>
        <v>І к.с.</v>
      </c>
      <c r="D17" s="118" t="s">
        <v>225</v>
      </c>
      <c r="E17" s="90">
        <v>3</v>
      </c>
      <c r="F17" s="90">
        <v>2</v>
      </c>
      <c r="G17" s="90">
        <v>1</v>
      </c>
      <c r="H17" s="90">
        <v>1</v>
      </c>
      <c r="I17" s="90"/>
      <c r="J17" s="90"/>
      <c r="K17" s="90"/>
      <c r="L17" s="90"/>
      <c r="M17" s="121">
        <f t="shared" si="0"/>
        <v>4</v>
      </c>
      <c r="N17" s="90"/>
      <c r="O17" s="90"/>
      <c r="P17" s="90"/>
      <c r="Q17" s="90"/>
      <c r="R17" s="90"/>
      <c r="S17" s="90"/>
      <c r="T17" s="90"/>
      <c r="U17" s="122">
        <f t="shared" si="1"/>
        <v>0</v>
      </c>
      <c r="V17" s="123">
        <f t="shared" si="2"/>
        <v>11</v>
      </c>
      <c r="W17" s="90"/>
      <c r="X17" s="90"/>
      <c r="Y17" s="90"/>
      <c r="Z17" s="90"/>
      <c r="AA17" s="90"/>
      <c r="AB17" s="90"/>
      <c r="AC17" s="90"/>
      <c r="AD17" s="90"/>
      <c r="AE17" s="90">
        <v>3</v>
      </c>
      <c r="AF17" s="90"/>
      <c r="AG17" s="90"/>
      <c r="AH17" s="121">
        <f t="shared" si="3"/>
        <v>3</v>
      </c>
      <c r="AI17" s="90"/>
      <c r="AJ17" s="90"/>
      <c r="AK17" s="90"/>
      <c r="AL17" s="90">
        <v>2</v>
      </c>
      <c r="AM17" s="122">
        <f t="shared" si="4"/>
        <v>2</v>
      </c>
      <c r="AN17" s="123">
        <f t="shared" si="5"/>
        <v>14</v>
      </c>
      <c r="AO17" s="124"/>
      <c r="AP17" s="90"/>
      <c r="AQ17" s="90"/>
      <c r="AR17" s="90"/>
      <c r="AS17" s="123">
        <f t="shared" si="6"/>
        <v>15</v>
      </c>
      <c r="AT17" s="90">
        <v>2</v>
      </c>
      <c r="AU17" s="90">
        <v>5</v>
      </c>
      <c r="AV17" s="90"/>
      <c r="AW17" s="90"/>
      <c r="AX17" s="90"/>
      <c r="AY17" s="90"/>
      <c r="AZ17" s="90"/>
      <c r="BA17" s="121">
        <f t="shared" si="7"/>
        <v>7</v>
      </c>
      <c r="BB17" s="90"/>
      <c r="BC17" s="90"/>
      <c r="BD17" s="90"/>
      <c r="BE17" s="90">
        <v>2</v>
      </c>
      <c r="BF17" s="90"/>
      <c r="BG17" s="90"/>
      <c r="BH17" s="90">
        <v>2</v>
      </c>
      <c r="BI17" s="90"/>
      <c r="BJ17" s="90"/>
      <c r="BK17" s="90"/>
      <c r="BL17" s="122">
        <f t="shared" si="8"/>
        <v>4</v>
      </c>
      <c r="BM17" s="123">
        <f t="shared" si="9"/>
        <v>37</v>
      </c>
      <c r="BN17" s="90"/>
      <c r="BO17" s="90"/>
      <c r="BP17" s="90"/>
      <c r="BQ17" s="90">
        <v>1</v>
      </c>
      <c r="BR17" s="90"/>
      <c r="BS17" s="90">
        <v>1</v>
      </c>
      <c r="BT17" s="90"/>
      <c r="BU17" s="90">
        <v>8</v>
      </c>
      <c r="BV17" s="90"/>
      <c r="BW17" s="90"/>
      <c r="BX17" s="90"/>
      <c r="BY17" s="90"/>
      <c r="BZ17" s="121">
        <f t="shared" si="10"/>
        <v>10</v>
      </c>
      <c r="CA17" s="90"/>
      <c r="CB17" s="90"/>
      <c r="CC17" s="122">
        <f t="shared" si="11"/>
        <v>0</v>
      </c>
      <c r="CD17" s="123">
        <f t="shared" si="12"/>
        <v>5</v>
      </c>
      <c r="CE17" s="125">
        <f t="shared" si="13"/>
        <v>82</v>
      </c>
      <c r="CF17" s="126" t="str">
        <f t="shared" si="14"/>
        <v>1с</v>
      </c>
      <c r="CG17" s="127" t="str">
        <f t="shared" si="15"/>
        <v>водний</v>
      </c>
      <c r="CH17" s="120" t="str">
        <f t="shared" si="16"/>
        <v>І к.с.</v>
      </c>
      <c r="CI17" s="90"/>
      <c r="CJ17" s="90"/>
      <c r="CK17" s="90"/>
      <c r="CL17" s="90"/>
      <c r="CO17" s="129"/>
    </row>
    <row r="18" spans="1:93" s="128" customFormat="1" ht="16.5" customHeight="1">
      <c r="A18" s="90" t="s">
        <v>183</v>
      </c>
      <c r="B18" s="118" t="str">
        <f>VLOOKUP(A18,реєстрація!A:AB,5,FALSE)</f>
        <v>водний</v>
      </c>
      <c r="C18" s="119" t="str">
        <f>VLOOKUP(A18,реєстрація!A:AK,6,FALSE)</f>
        <v>І к.с.</v>
      </c>
      <c r="D18" s="118" t="s">
        <v>223</v>
      </c>
      <c r="E18" s="120">
        <v>1</v>
      </c>
      <c r="F18" s="90"/>
      <c r="G18" s="90"/>
      <c r="H18" s="90"/>
      <c r="I18" s="90"/>
      <c r="J18" s="90"/>
      <c r="K18" s="90"/>
      <c r="L18" s="90"/>
      <c r="M18" s="121">
        <f t="shared" si="0"/>
        <v>0</v>
      </c>
      <c r="N18" s="90"/>
      <c r="O18" s="90"/>
      <c r="P18" s="90"/>
      <c r="Q18" s="90"/>
      <c r="R18" s="90"/>
      <c r="S18" s="90"/>
      <c r="T18" s="90"/>
      <c r="U18" s="122">
        <f t="shared" si="1"/>
        <v>0</v>
      </c>
      <c r="V18" s="123">
        <f t="shared" si="2"/>
        <v>15</v>
      </c>
      <c r="W18" s="90"/>
      <c r="X18" s="90"/>
      <c r="Y18" s="90"/>
      <c r="Z18" s="90"/>
      <c r="AA18" s="90"/>
      <c r="AB18" s="90">
        <v>2</v>
      </c>
      <c r="AC18" s="90"/>
      <c r="AD18" s="90"/>
      <c r="AE18" s="90"/>
      <c r="AF18" s="90"/>
      <c r="AG18" s="90"/>
      <c r="AH18" s="121">
        <f t="shared" si="3"/>
        <v>2</v>
      </c>
      <c r="AI18" s="90"/>
      <c r="AJ18" s="90"/>
      <c r="AK18" s="90"/>
      <c r="AL18" s="90">
        <v>1</v>
      </c>
      <c r="AM18" s="122">
        <f t="shared" si="4"/>
        <v>1</v>
      </c>
      <c r="AN18" s="123">
        <f t="shared" si="5"/>
        <v>14</v>
      </c>
      <c r="AO18" s="124"/>
      <c r="AP18" s="90"/>
      <c r="AQ18" s="90"/>
      <c r="AR18" s="90"/>
      <c r="AS18" s="123">
        <f t="shared" si="6"/>
        <v>15</v>
      </c>
      <c r="AT18" s="90"/>
      <c r="AU18" s="90">
        <v>1</v>
      </c>
      <c r="AV18" s="90"/>
      <c r="AW18" s="90"/>
      <c r="AX18" s="90"/>
      <c r="AY18" s="90"/>
      <c r="AZ18" s="90"/>
      <c r="BA18" s="121">
        <f t="shared" si="7"/>
        <v>1</v>
      </c>
      <c r="BB18" s="90"/>
      <c r="BC18" s="90"/>
      <c r="BD18" s="90"/>
      <c r="BE18" s="90"/>
      <c r="BF18" s="90"/>
      <c r="BG18" s="90">
        <v>2</v>
      </c>
      <c r="BH18" s="90"/>
      <c r="BI18" s="90"/>
      <c r="BJ18" s="90"/>
      <c r="BK18" s="90"/>
      <c r="BL18" s="122">
        <f t="shared" si="8"/>
        <v>2</v>
      </c>
      <c r="BM18" s="123">
        <f t="shared" si="9"/>
        <v>41</v>
      </c>
      <c r="BN18" s="90"/>
      <c r="BO18" s="90"/>
      <c r="BP18" s="90"/>
      <c r="BQ18" s="90"/>
      <c r="BR18" s="90"/>
      <c r="BS18" s="90"/>
      <c r="BT18" s="90"/>
      <c r="BU18" s="90"/>
      <c r="BV18" s="90"/>
      <c r="BW18" s="90">
        <v>1</v>
      </c>
      <c r="BX18" s="90"/>
      <c r="BY18" s="90"/>
      <c r="BZ18" s="121">
        <f t="shared" si="10"/>
        <v>1</v>
      </c>
      <c r="CA18" s="90"/>
      <c r="CB18" s="90"/>
      <c r="CC18" s="122">
        <f t="shared" si="11"/>
        <v>0</v>
      </c>
      <c r="CD18" s="123">
        <f t="shared" si="12"/>
        <v>14</v>
      </c>
      <c r="CE18" s="125">
        <f t="shared" si="13"/>
        <v>99</v>
      </c>
      <c r="CF18" s="126" t="str">
        <f t="shared" si="14"/>
        <v>6с</v>
      </c>
      <c r="CG18" s="127" t="str">
        <f t="shared" si="15"/>
        <v>водний</v>
      </c>
      <c r="CH18" s="120" t="str">
        <f t="shared" si="16"/>
        <v>І к.с.</v>
      </c>
      <c r="CI18" s="90">
        <f>CE18</f>
        <v>99</v>
      </c>
      <c r="CJ18" s="90">
        <f>CE19</f>
        <v>98</v>
      </c>
      <c r="CK18" s="90">
        <f>CE20</f>
        <v>100</v>
      </c>
      <c r="CL18" s="90"/>
      <c r="CO18" s="129"/>
    </row>
    <row r="19" spans="1:93" s="128" customFormat="1" ht="16.5" customHeight="1">
      <c r="A19" s="90" t="s">
        <v>183</v>
      </c>
      <c r="B19" s="118" t="str">
        <f>VLOOKUP(A19,реєстрація!A:AB,5,FALSE)</f>
        <v>водний</v>
      </c>
      <c r="C19" s="119" t="str">
        <f>VLOOKUP(A19,реєстрація!A:AK,6,FALSE)</f>
        <v>І к.с.</v>
      </c>
      <c r="D19" s="127" t="s">
        <v>226</v>
      </c>
      <c r="E19" s="120">
        <v>2</v>
      </c>
      <c r="F19" s="90"/>
      <c r="G19" s="90"/>
      <c r="H19" s="90"/>
      <c r="I19" s="90"/>
      <c r="J19" s="90"/>
      <c r="K19" s="90"/>
      <c r="L19" s="90"/>
      <c r="M19" s="121">
        <f t="shared" si="0"/>
        <v>0</v>
      </c>
      <c r="N19" s="90"/>
      <c r="O19" s="90"/>
      <c r="P19" s="90">
        <v>1</v>
      </c>
      <c r="Q19" s="90"/>
      <c r="R19" s="90"/>
      <c r="S19" s="90"/>
      <c r="T19" s="90"/>
      <c r="U19" s="122">
        <f t="shared" si="1"/>
        <v>1</v>
      </c>
      <c r="V19" s="123">
        <f t="shared" si="2"/>
        <v>16</v>
      </c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121">
        <f t="shared" si="3"/>
        <v>0</v>
      </c>
      <c r="AI19" s="90"/>
      <c r="AJ19" s="90"/>
      <c r="AK19" s="90"/>
      <c r="AL19" s="90"/>
      <c r="AM19" s="122">
        <f t="shared" si="4"/>
        <v>0</v>
      </c>
      <c r="AN19" s="123">
        <f t="shared" si="5"/>
        <v>15</v>
      </c>
      <c r="AO19" s="124"/>
      <c r="AP19" s="90"/>
      <c r="AQ19" s="90"/>
      <c r="AR19" s="90"/>
      <c r="AS19" s="123">
        <f t="shared" si="6"/>
        <v>15</v>
      </c>
      <c r="AT19" s="90">
        <v>1</v>
      </c>
      <c r="AU19" s="90"/>
      <c r="AV19" s="90"/>
      <c r="AW19" s="90"/>
      <c r="AX19" s="90"/>
      <c r="AY19" s="90"/>
      <c r="AZ19" s="90"/>
      <c r="BA19" s="121">
        <f t="shared" si="7"/>
        <v>1</v>
      </c>
      <c r="BB19" s="90"/>
      <c r="BC19" s="90"/>
      <c r="BD19" s="90"/>
      <c r="BE19" s="90"/>
      <c r="BF19" s="90"/>
      <c r="BG19" s="90">
        <v>1</v>
      </c>
      <c r="BH19" s="90"/>
      <c r="BI19" s="90"/>
      <c r="BJ19" s="90"/>
      <c r="BK19" s="90"/>
      <c r="BL19" s="122">
        <f t="shared" si="8"/>
        <v>1</v>
      </c>
      <c r="BM19" s="123">
        <f t="shared" si="9"/>
        <v>40</v>
      </c>
      <c r="BN19" s="90"/>
      <c r="BO19" s="90"/>
      <c r="BP19" s="90">
        <v>2</v>
      </c>
      <c r="BQ19" s="90"/>
      <c r="BR19" s="90"/>
      <c r="BS19" s="90"/>
      <c r="BT19" s="90"/>
      <c r="BU19" s="90"/>
      <c r="BV19" s="90">
        <v>1</v>
      </c>
      <c r="BW19" s="90"/>
      <c r="BX19" s="90"/>
      <c r="BY19" s="90"/>
      <c r="BZ19" s="121">
        <f t="shared" si="10"/>
        <v>3</v>
      </c>
      <c r="CA19" s="90"/>
      <c r="CB19" s="90"/>
      <c r="CC19" s="122">
        <f t="shared" si="11"/>
        <v>0</v>
      </c>
      <c r="CD19" s="123">
        <f t="shared" si="12"/>
        <v>12</v>
      </c>
      <c r="CE19" s="125">
        <f t="shared" si="13"/>
        <v>98</v>
      </c>
      <c r="CF19" s="126" t="str">
        <f t="shared" si="14"/>
        <v>6с</v>
      </c>
      <c r="CG19" s="127" t="str">
        <f t="shared" si="15"/>
        <v>водний</v>
      </c>
      <c r="CH19" s="120" t="str">
        <f t="shared" si="16"/>
        <v>І к.с.</v>
      </c>
      <c r="CI19" s="90"/>
      <c r="CJ19" s="90"/>
      <c r="CK19" s="90"/>
      <c r="CL19" s="90"/>
      <c r="CO19" s="129"/>
    </row>
    <row r="20" spans="1:93" s="128" customFormat="1" ht="16.5" customHeight="1">
      <c r="A20" s="90" t="s">
        <v>183</v>
      </c>
      <c r="B20" s="118" t="str">
        <f>VLOOKUP(A20,реєстрація!A:AB,5,FALSE)</f>
        <v>водний</v>
      </c>
      <c r="C20" s="119" t="str">
        <f>VLOOKUP(A20,реєстрація!A:AK,6,FALSE)</f>
        <v>І к.с.</v>
      </c>
      <c r="D20" s="118" t="s">
        <v>225</v>
      </c>
      <c r="E20" s="120">
        <v>3</v>
      </c>
      <c r="F20" s="90"/>
      <c r="G20" s="90"/>
      <c r="H20" s="90"/>
      <c r="I20" s="90"/>
      <c r="J20" s="90"/>
      <c r="K20" s="90"/>
      <c r="L20" s="90"/>
      <c r="M20" s="121">
        <f t="shared" si="0"/>
        <v>0</v>
      </c>
      <c r="N20" s="90"/>
      <c r="O20" s="90"/>
      <c r="P20" s="90">
        <v>1</v>
      </c>
      <c r="Q20" s="90"/>
      <c r="R20" s="90"/>
      <c r="S20" s="90"/>
      <c r="T20" s="90"/>
      <c r="U20" s="122">
        <f t="shared" si="1"/>
        <v>1</v>
      </c>
      <c r="V20" s="123">
        <f t="shared" si="2"/>
        <v>16</v>
      </c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121">
        <f t="shared" si="3"/>
        <v>0</v>
      </c>
      <c r="AI20" s="90"/>
      <c r="AJ20" s="90"/>
      <c r="AK20" s="90"/>
      <c r="AL20" s="90"/>
      <c r="AM20" s="122">
        <f t="shared" si="4"/>
        <v>0</v>
      </c>
      <c r="AN20" s="123">
        <f t="shared" si="5"/>
        <v>15</v>
      </c>
      <c r="AO20" s="124"/>
      <c r="AP20" s="90"/>
      <c r="AQ20" s="90"/>
      <c r="AR20" s="90"/>
      <c r="AS20" s="123">
        <f t="shared" si="6"/>
        <v>15</v>
      </c>
      <c r="AT20" s="90">
        <v>2</v>
      </c>
      <c r="AU20" s="90"/>
      <c r="AV20" s="90"/>
      <c r="AW20" s="90"/>
      <c r="AX20" s="90"/>
      <c r="AY20" s="90"/>
      <c r="AZ20" s="90"/>
      <c r="BA20" s="121">
        <f t="shared" si="7"/>
        <v>2</v>
      </c>
      <c r="BB20" s="90"/>
      <c r="BC20" s="90"/>
      <c r="BD20" s="90"/>
      <c r="BE20" s="90"/>
      <c r="BF20" s="90"/>
      <c r="BG20" s="90">
        <v>2</v>
      </c>
      <c r="BH20" s="90"/>
      <c r="BI20" s="90"/>
      <c r="BJ20" s="90"/>
      <c r="BK20" s="90"/>
      <c r="BL20" s="122">
        <f t="shared" si="8"/>
        <v>2</v>
      </c>
      <c r="BM20" s="123">
        <f t="shared" si="9"/>
        <v>40</v>
      </c>
      <c r="BN20" s="90"/>
      <c r="BO20" s="90"/>
      <c r="BP20" s="90"/>
      <c r="BQ20" s="90"/>
      <c r="BR20" s="90"/>
      <c r="BS20" s="90"/>
      <c r="BT20" s="90"/>
      <c r="BU20" s="90"/>
      <c r="BV20" s="90"/>
      <c r="BW20" s="90">
        <v>1</v>
      </c>
      <c r="BX20" s="90"/>
      <c r="BY20" s="90"/>
      <c r="BZ20" s="121">
        <f t="shared" si="10"/>
        <v>1</v>
      </c>
      <c r="CA20" s="90"/>
      <c r="CB20" s="90"/>
      <c r="CC20" s="122">
        <f t="shared" si="11"/>
        <v>0</v>
      </c>
      <c r="CD20" s="123">
        <f t="shared" si="12"/>
        <v>14</v>
      </c>
      <c r="CE20" s="125">
        <f t="shared" si="13"/>
        <v>100</v>
      </c>
      <c r="CF20" s="126" t="str">
        <f t="shared" si="14"/>
        <v>6с</v>
      </c>
      <c r="CG20" s="127" t="str">
        <f t="shared" si="15"/>
        <v>водний</v>
      </c>
      <c r="CH20" s="120" t="str">
        <f t="shared" si="16"/>
        <v>І к.с.</v>
      </c>
      <c r="CI20" s="90"/>
      <c r="CJ20" s="90"/>
      <c r="CK20" s="90"/>
      <c r="CL20" s="90"/>
      <c r="CO20" s="129"/>
    </row>
    <row r="21" spans="1:93" s="128" customFormat="1" ht="16.5" customHeight="1">
      <c r="A21" s="90" t="s">
        <v>188</v>
      </c>
      <c r="B21" s="118" t="str">
        <f>VLOOKUP(A21,реєстрація!A:AB,5,FALSE)</f>
        <v>пішохідний </v>
      </c>
      <c r="C21" s="119" t="str">
        <f>VLOOKUP(A21,реєстрація!A:AK,6,FALSE)</f>
        <v>І к.с.</v>
      </c>
      <c r="D21" s="136" t="s">
        <v>232</v>
      </c>
      <c r="E21" s="133">
        <v>1</v>
      </c>
      <c r="F21" s="90">
        <v>2</v>
      </c>
      <c r="G21" s="90"/>
      <c r="H21" s="90"/>
      <c r="I21" s="90">
        <v>1</v>
      </c>
      <c r="J21" s="90"/>
      <c r="K21" s="90"/>
      <c r="L21" s="90"/>
      <c r="M21" s="121">
        <f t="shared" si="0"/>
        <v>3</v>
      </c>
      <c r="N21" s="90"/>
      <c r="O21" s="90"/>
      <c r="P21" s="90">
        <v>1</v>
      </c>
      <c r="Q21" s="90"/>
      <c r="R21" s="90">
        <v>2</v>
      </c>
      <c r="S21" s="90"/>
      <c r="T21" s="90"/>
      <c r="U21" s="122">
        <f t="shared" si="1"/>
        <v>3</v>
      </c>
      <c r="V21" s="123">
        <f t="shared" si="2"/>
        <v>15</v>
      </c>
      <c r="W21" s="90"/>
      <c r="X21" s="90"/>
      <c r="Y21" s="90"/>
      <c r="Z21" s="90">
        <v>2</v>
      </c>
      <c r="AA21" s="90"/>
      <c r="AB21" s="90"/>
      <c r="AC21" s="90"/>
      <c r="AD21" s="90"/>
      <c r="AE21" s="90"/>
      <c r="AF21" s="90"/>
      <c r="AG21" s="90"/>
      <c r="AH21" s="121">
        <f t="shared" si="3"/>
        <v>2</v>
      </c>
      <c r="AI21" s="90"/>
      <c r="AJ21" s="90"/>
      <c r="AK21" s="90"/>
      <c r="AL21" s="90">
        <v>1</v>
      </c>
      <c r="AM21" s="122">
        <f t="shared" si="4"/>
        <v>1</v>
      </c>
      <c r="AN21" s="123">
        <f t="shared" si="5"/>
        <v>14</v>
      </c>
      <c r="AO21" s="124"/>
      <c r="AP21" s="90">
        <v>1</v>
      </c>
      <c r="AQ21" s="90"/>
      <c r="AR21" s="90"/>
      <c r="AS21" s="123">
        <f t="shared" si="6"/>
        <v>16</v>
      </c>
      <c r="AT21" s="90">
        <v>1</v>
      </c>
      <c r="AU21" s="90">
        <v>1</v>
      </c>
      <c r="AV21" s="90"/>
      <c r="AW21" s="90"/>
      <c r="AX21" s="90"/>
      <c r="AY21" s="90"/>
      <c r="AZ21" s="90"/>
      <c r="BA21" s="121">
        <f t="shared" si="7"/>
        <v>2</v>
      </c>
      <c r="BB21" s="90"/>
      <c r="BC21" s="90"/>
      <c r="BD21" s="90">
        <v>1</v>
      </c>
      <c r="BE21" s="90"/>
      <c r="BF21" s="90"/>
      <c r="BG21" s="90"/>
      <c r="BH21" s="90"/>
      <c r="BI21" s="90"/>
      <c r="BJ21" s="90"/>
      <c r="BK21" s="90"/>
      <c r="BL21" s="122">
        <f t="shared" si="8"/>
        <v>1</v>
      </c>
      <c r="BM21" s="123">
        <f t="shared" si="9"/>
        <v>39</v>
      </c>
      <c r="BN21" s="90"/>
      <c r="BO21" s="90"/>
      <c r="BP21" s="90"/>
      <c r="BQ21" s="90">
        <v>2</v>
      </c>
      <c r="BR21" s="90">
        <v>1</v>
      </c>
      <c r="BS21" s="90"/>
      <c r="BT21" s="90"/>
      <c r="BU21" s="90">
        <v>1</v>
      </c>
      <c r="BV21" s="90"/>
      <c r="BW21" s="90">
        <v>2</v>
      </c>
      <c r="BX21" s="90">
        <v>1</v>
      </c>
      <c r="BY21" s="90"/>
      <c r="BZ21" s="121">
        <f t="shared" si="10"/>
        <v>7</v>
      </c>
      <c r="CA21" s="90"/>
      <c r="CB21" s="90"/>
      <c r="CC21" s="122">
        <f t="shared" si="11"/>
        <v>0</v>
      </c>
      <c r="CD21" s="123">
        <f t="shared" si="12"/>
        <v>8</v>
      </c>
      <c r="CE21" s="125">
        <f t="shared" si="13"/>
        <v>92</v>
      </c>
      <c r="CF21" s="126" t="str">
        <f t="shared" si="14"/>
        <v>11с</v>
      </c>
      <c r="CG21" s="127" t="str">
        <f t="shared" si="15"/>
        <v>пішохідний </v>
      </c>
      <c r="CH21" s="120" t="str">
        <f t="shared" si="16"/>
        <v>І к.с.</v>
      </c>
      <c r="CI21" s="90">
        <f>CE21</f>
        <v>92</v>
      </c>
      <c r="CJ21" s="90">
        <f>CE22</f>
        <v>112</v>
      </c>
      <c r="CK21" s="90">
        <f>CE23</f>
        <v>104</v>
      </c>
      <c r="CL21" s="90">
        <f>CE25</f>
        <v>103</v>
      </c>
      <c r="CO21" s="129"/>
    </row>
    <row r="22" spans="1:93" s="128" customFormat="1" ht="16.5" customHeight="1">
      <c r="A22" s="90" t="s">
        <v>188</v>
      </c>
      <c r="B22" s="118" t="str">
        <f>VLOOKUP(A22,реєстрація!A:AB,5,FALSE)</f>
        <v>пішохідний </v>
      </c>
      <c r="C22" s="119" t="str">
        <f>VLOOKUP(A22,реєстрація!A:AK,6,FALSE)</f>
        <v>І к.с.</v>
      </c>
      <c r="D22" s="127" t="s">
        <v>233</v>
      </c>
      <c r="E22" s="133">
        <v>2</v>
      </c>
      <c r="F22" s="90">
        <v>1</v>
      </c>
      <c r="G22" s="90"/>
      <c r="H22" s="90"/>
      <c r="I22" s="90"/>
      <c r="J22" s="90"/>
      <c r="K22" s="90"/>
      <c r="L22" s="90"/>
      <c r="M22" s="121">
        <f t="shared" si="0"/>
        <v>1</v>
      </c>
      <c r="N22" s="90"/>
      <c r="O22" s="90">
        <v>2</v>
      </c>
      <c r="P22" s="90">
        <v>1</v>
      </c>
      <c r="Q22" s="90"/>
      <c r="R22" s="90">
        <v>2</v>
      </c>
      <c r="S22" s="90"/>
      <c r="T22" s="90"/>
      <c r="U22" s="122">
        <f t="shared" si="1"/>
        <v>5</v>
      </c>
      <c r="V22" s="123">
        <f t="shared" si="2"/>
        <v>19</v>
      </c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121">
        <f t="shared" si="3"/>
        <v>0</v>
      </c>
      <c r="AI22" s="90"/>
      <c r="AJ22" s="90"/>
      <c r="AK22" s="90"/>
      <c r="AL22" s="90">
        <v>2</v>
      </c>
      <c r="AM22" s="122">
        <f t="shared" si="4"/>
        <v>2</v>
      </c>
      <c r="AN22" s="123">
        <f t="shared" si="5"/>
        <v>17</v>
      </c>
      <c r="AO22" s="124"/>
      <c r="AP22" s="90"/>
      <c r="AQ22" s="90"/>
      <c r="AR22" s="90">
        <v>3</v>
      </c>
      <c r="AS22" s="123">
        <f t="shared" si="6"/>
        <v>18</v>
      </c>
      <c r="AT22" s="90"/>
      <c r="AU22" s="90"/>
      <c r="AV22" s="90"/>
      <c r="AW22" s="90"/>
      <c r="AX22" s="90"/>
      <c r="AY22" s="90"/>
      <c r="AZ22" s="90"/>
      <c r="BA22" s="121">
        <f t="shared" si="7"/>
        <v>0</v>
      </c>
      <c r="BB22" s="90"/>
      <c r="BC22" s="90"/>
      <c r="BD22" s="90"/>
      <c r="BE22" s="90"/>
      <c r="BF22" s="90"/>
      <c r="BG22" s="90"/>
      <c r="BH22" s="90"/>
      <c r="BI22" s="90"/>
      <c r="BJ22" s="90"/>
      <c r="BK22" s="90">
        <v>1</v>
      </c>
      <c r="BL22" s="122">
        <f t="shared" si="8"/>
        <v>1</v>
      </c>
      <c r="BM22" s="123">
        <f t="shared" si="9"/>
        <v>41</v>
      </c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121">
        <f t="shared" si="10"/>
        <v>0</v>
      </c>
      <c r="CA22" s="90">
        <v>2</v>
      </c>
      <c r="CB22" s="90"/>
      <c r="CC22" s="122">
        <f t="shared" si="11"/>
        <v>2</v>
      </c>
      <c r="CD22" s="123">
        <f t="shared" si="12"/>
        <v>17</v>
      </c>
      <c r="CE22" s="125">
        <f t="shared" si="13"/>
        <v>112</v>
      </c>
      <c r="CF22" s="126" t="str">
        <f t="shared" si="14"/>
        <v>11с</v>
      </c>
      <c r="CG22" s="127" t="str">
        <f t="shared" si="15"/>
        <v>пішохідний </v>
      </c>
      <c r="CH22" s="120" t="str">
        <f t="shared" si="16"/>
        <v>І к.с.</v>
      </c>
      <c r="CI22" s="90"/>
      <c r="CJ22" s="90"/>
      <c r="CK22" s="90"/>
      <c r="CL22" s="90"/>
      <c r="CO22" s="129"/>
    </row>
    <row r="23" spans="1:93" s="128" customFormat="1" ht="16.5" customHeight="1">
      <c r="A23" s="90" t="s">
        <v>188</v>
      </c>
      <c r="B23" s="118" t="str">
        <f>VLOOKUP(A23,реєстрація!A:AB,5,FALSE)</f>
        <v>пішохідний </v>
      </c>
      <c r="C23" s="119" t="str">
        <f>VLOOKUP(A23,реєстрація!A:AK,6,FALSE)</f>
        <v>І к.с.</v>
      </c>
      <c r="D23" s="127" t="s">
        <v>234</v>
      </c>
      <c r="E23" s="133">
        <v>3</v>
      </c>
      <c r="F23" s="90"/>
      <c r="G23" s="90"/>
      <c r="H23" s="90"/>
      <c r="I23" s="90"/>
      <c r="J23" s="90"/>
      <c r="K23" s="90"/>
      <c r="L23" s="90"/>
      <c r="M23" s="121">
        <f t="shared" si="0"/>
        <v>0</v>
      </c>
      <c r="N23" s="90"/>
      <c r="O23" s="90"/>
      <c r="P23" s="90"/>
      <c r="Q23" s="90"/>
      <c r="R23" s="90">
        <v>2</v>
      </c>
      <c r="S23" s="90"/>
      <c r="T23" s="90"/>
      <c r="U23" s="122">
        <f t="shared" si="1"/>
        <v>2</v>
      </c>
      <c r="V23" s="123">
        <f t="shared" si="2"/>
        <v>17</v>
      </c>
      <c r="W23" s="90"/>
      <c r="X23" s="90"/>
      <c r="Y23" s="90"/>
      <c r="Z23" s="90"/>
      <c r="AA23" s="90"/>
      <c r="AB23" s="90"/>
      <c r="AC23" s="90"/>
      <c r="AD23" s="90">
        <v>1</v>
      </c>
      <c r="AE23" s="90"/>
      <c r="AF23" s="90"/>
      <c r="AG23" s="90"/>
      <c r="AH23" s="121">
        <f t="shared" si="3"/>
        <v>1</v>
      </c>
      <c r="AI23" s="90"/>
      <c r="AJ23" s="90"/>
      <c r="AK23" s="90"/>
      <c r="AL23" s="90">
        <v>3</v>
      </c>
      <c r="AM23" s="122">
        <f t="shared" si="4"/>
        <v>3</v>
      </c>
      <c r="AN23" s="123">
        <f t="shared" si="5"/>
        <v>17</v>
      </c>
      <c r="AO23" s="124"/>
      <c r="AP23" s="90"/>
      <c r="AQ23" s="90"/>
      <c r="AR23" s="90"/>
      <c r="AS23" s="123">
        <f t="shared" si="6"/>
        <v>15</v>
      </c>
      <c r="AT23" s="90"/>
      <c r="AU23" s="90"/>
      <c r="AV23" s="90"/>
      <c r="AW23" s="90"/>
      <c r="AX23" s="90"/>
      <c r="AY23" s="90"/>
      <c r="AZ23" s="90"/>
      <c r="BA23" s="121">
        <f t="shared" si="7"/>
        <v>0</v>
      </c>
      <c r="BB23" s="90"/>
      <c r="BC23" s="90"/>
      <c r="BD23" s="90">
        <v>2</v>
      </c>
      <c r="BE23" s="90"/>
      <c r="BF23" s="90"/>
      <c r="BG23" s="90"/>
      <c r="BH23" s="90"/>
      <c r="BI23" s="90"/>
      <c r="BJ23" s="90"/>
      <c r="BK23" s="90"/>
      <c r="BL23" s="122">
        <f t="shared" si="8"/>
        <v>2</v>
      </c>
      <c r="BM23" s="123">
        <f t="shared" si="9"/>
        <v>42</v>
      </c>
      <c r="BN23" s="90"/>
      <c r="BO23" s="90"/>
      <c r="BP23" s="90"/>
      <c r="BQ23" s="90"/>
      <c r="BR23" s="90"/>
      <c r="BS23" s="90"/>
      <c r="BT23" s="90"/>
      <c r="BU23" s="90"/>
      <c r="BV23" s="90"/>
      <c r="BW23" s="90">
        <v>2</v>
      </c>
      <c r="BX23" s="90"/>
      <c r="BY23" s="90"/>
      <c r="BZ23" s="121">
        <f t="shared" si="10"/>
        <v>2</v>
      </c>
      <c r="CA23" s="90"/>
      <c r="CB23" s="90"/>
      <c r="CC23" s="122">
        <f t="shared" si="11"/>
        <v>0</v>
      </c>
      <c r="CD23" s="123">
        <f t="shared" si="12"/>
        <v>13</v>
      </c>
      <c r="CE23" s="125">
        <f t="shared" si="13"/>
        <v>104</v>
      </c>
      <c r="CF23" s="126" t="str">
        <f t="shared" si="14"/>
        <v>11с</v>
      </c>
      <c r="CG23" s="127" t="str">
        <f t="shared" si="15"/>
        <v>пішохідний </v>
      </c>
      <c r="CH23" s="120" t="str">
        <f t="shared" si="16"/>
        <v>І к.с.</v>
      </c>
      <c r="CI23" s="90"/>
      <c r="CJ23" s="90"/>
      <c r="CK23" s="90"/>
      <c r="CL23" s="90"/>
      <c r="CO23" s="129"/>
    </row>
    <row r="24" spans="1:93" s="128" customFormat="1" ht="16.5" customHeight="1">
      <c r="A24" s="90" t="s">
        <v>188</v>
      </c>
      <c r="B24" s="118" t="str">
        <f>VLOOKUP(A24,реєстрація!A:AB,5,FALSE)</f>
        <v>пішохідний </v>
      </c>
      <c r="C24" s="119" t="str">
        <f>VLOOKUP(A24,реєстрація!A:AK,6,FALSE)</f>
        <v>І к.с.</v>
      </c>
      <c r="D24" s="127" t="s">
        <v>235</v>
      </c>
      <c r="E24" s="133">
        <v>4</v>
      </c>
      <c r="F24" s="90"/>
      <c r="G24" s="90"/>
      <c r="H24" s="90"/>
      <c r="I24" s="90"/>
      <c r="J24" s="90"/>
      <c r="K24" s="90"/>
      <c r="L24" s="90"/>
      <c r="M24" s="121">
        <f>SUM(F24:L24)</f>
        <v>0</v>
      </c>
      <c r="N24" s="90">
        <v>2</v>
      </c>
      <c r="O24" s="90">
        <v>2</v>
      </c>
      <c r="P24" s="90">
        <v>1</v>
      </c>
      <c r="Q24" s="90"/>
      <c r="R24" s="90">
        <v>2</v>
      </c>
      <c r="S24" s="90"/>
      <c r="T24" s="90"/>
      <c r="U24" s="122">
        <f>SUM(N24:T24)</f>
        <v>7</v>
      </c>
      <c r="V24" s="123">
        <f>15-M24+U24</f>
        <v>22</v>
      </c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121">
        <f>SUM(W24:AG24)</f>
        <v>0</v>
      </c>
      <c r="AI24" s="90"/>
      <c r="AJ24" s="90"/>
      <c r="AK24" s="90"/>
      <c r="AL24" s="90">
        <v>1</v>
      </c>
      <c r="AM24" s="122">
        <f>SUM(AI24:AL24)</f>
        <v>1</v>
      </c>
      <c r="AN24" s="123">
        <f>15-AH24+AM24</f>
        <v>16</v>
      </c>
      <c r="AO24" s="124"/>
      <c r="AP24" s="90">
        <v>1</v>
      </c>
      <c r="AQ24" s="90">
        <v>2</v>
      </c>
      <c r="AR24" s="90"/>
      <c r="AS24" s="123">
        <f>15+AP24+AQ24+AR24-AO24</f>
        <v>18</v>
      </c>
      <c r="AT24" s="90"/>
      <c r="AU24" s="90"/>
      <c r="AV24" s="90"/>
      <c r="AW24" s="90"/>
      <c r="AX24" s="90"/>
      <c r="AY24" s="90"/>
      <c r="AZ24" s="90"/>
      <c r="BA24" s="121">
        <f>SUM(AT24:AZ24)</f>
        <v>0</v>
      </c>
      <c r="BB24" s="90">
        <v>1</v>
      </c>
      <c r="BC24" s="90"/>
      <c r="BD24" s="90">
        <v>3</v>
      </c>
      <c r="BE24" s="90"/>
      <c r="BF24" s="90"/>
      <c r="BG24" s="90"/>
      <c r="BH24" s="90">
        <v>1</v>
      </c>
      <c r="BI24" s="90"/>
      <c r="BJ24" s="90"/>
      <c r="BK24" s="90">
        <v>1</v>
      </c>
      <c r="BL24" s="122">
        <f>SUM(BB24:BK24)</f>
        <v>6</v>
      </c>
      <c r="BM24" s="123">
        <f>40+BL24-BA24</f>
        <v>46</v>
      </c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121">
        <f>SUM(BN24:BY24)</f>
        <v>0</v>
      </c>
      <c r="CA24" s="90"/>
      <c r="CB24" s="90"/>
      <c r="CC24" s="122">
        <f>SUM(CA24:CB24)</f>
        <v>0</v>
      </c>
      <c r="CD24" s="123">
        <f>15+CC24-BZ24</f>
        <v>15</v>
      </c>
      <c r="CE24" s="125">
        <f>SUM(CD24,BM24,AS24,AN24,V24)</f>
        <v>117</v>
      </c>
      <c r="CF24" s="126" t="str">
        <f>A24</f>
        <v>11с</v>
      </c>
      <c r="CG24" s="127" t="str">
        <f>B24</f>
        <v>пішохідний </v>
      </c>
      <c r="CH24" s="120" t="str">
        <f>C24</f>
        <v>І к.с.</v>
      </c>
      <c r="CI24" s="90"/>
      <c r="CJ24" s="90"/>
      <c r="CK24" s="90"/>
      <c r="CL24" s="90"/>
      <c r="CO24" s="129"/>
    </row>
    <row r="25" spans="1:93" s="128" customFormat="1" ht="16.5" customHeight="1">
      <c r="A25" s="90" t="s">
        <v>182</v>
      </c>
      <c r="B25" s="118" t="str">
        <f>VLOOKUP(A25,реєстрація!A:AB,5,FALSE)</f>
        <v>пішохідний </v>
      </c>
      <c r="C25" s="119" t="str">
        <f>VLOOKUP(A25,реєстрація!A:AK,6,FALSE)</f>
        <v>І к.с. </v>
      </c>
      <c r="D25" s="136" t="s">
        <v>232</v>
      </c>
      <c r="E25" s="133">
        <v>1</v>
      </c>
      <c r="F25" s="90"/>
      <c r="G25" s="90"/>
      <c r="H25" s="90"/>
      <c r="I25" s="90"/>
      <c r="J25" s="90"/>
      <c r="K25" s="90"/>
      <c r="L25" s="90">
        <v>1</v>
      </c>
      <c r="M25" s="121">
        <f t="shared" si="0"/>
        <v>1</v>
      </c>
      <c r="N25" s="90"/>
      <c r="O25" s="90"/>
      <c r="P25" s="90">
        <v>1</v>
      </c>
      <c r="Q25" s="90">
        <v>1</v>
      </c>
      <c r="R25" s="90"/>
      <c r="S25" s="90"/>
      <c r="T25" s="90"/>
      <c r="U25" s="122">
        <f t="shared" si="1"/>
        <v>2</v>
      </c>
      <c r="V25" s="123">
        <f t="shared" si="2"/>
        <v>16</v>
      </c>
      <c r="W25" s="90"/>
      <c r="X25" s="90">
        <v>2</v>
      </c>
      <c r="Y25" s="90"/>
      <c r="Z25" s="90">
        <v>2</v>
      </c>
      <c r="AA25" s="90"/>
      <c r="AB25" s="90"/>
      <c r="AC25" s="90"/>
      <c r="AD25" s="90"/>
      <c r="AE25" s="90"/>
      <c r="AF25" s="90">
        <v>1</v>
      </c>
      <c r="AG25" s="90"/>
      <c r="AH25" s="121">
        <f t="shared" si="3"/>
        <v>5</v>
      </c>
      <c r="AI25" s="90"/>
      <c r="AJ25" s="90"/>
      <c r="AK25" s="90"/>
      <c r="AL25" s="90">
        <v>1</v>
      </c>
      <c r="AM25" s="122">
        <f t="shared" si="4"/>
        <v>1</v>
      </c>
      <c r="AN25" s="123">
        <f t="shared" si="5"/>
        <v>11</v>
      </c>
      <c r="AO25" s="124">
        <v>1</v>
      </c>
      <c r="AP25" s="90">
        <v>2</v>
      </c>
      <c r="AQ25" s="90"/>
      <c r="AR25" s="90">
        <v>3</v>
      </c>
      <c r="AS25" s="123">
        <f t="shared" si="6"/>
        <v>19</v>
      </c>
      <c r="AT25" s="90"/>
      <c r="AU25" s="90">
        <v>1</v>
      </c>
      <c r="AV25" s="90"/>
      <c r="AW25" s="90"/>
      <c r="AX25" s="90"/>
      <c r="AY25" s="90"/>
      <c r="AZ25" s="90"/>
      <c r="BA25" s="121">
        <f t="shared" si="7"/>
        <v>1</v>
      </c>
      <c r="BB25" s="90"/>
      <c r="BC25" s="90">
        <v>2</v>
      </c>
      <c r="BD25" s="90">
        <v>1</v>
      </c>
      <c r="BE25" s="90"/>
      <c r="BF25" s="90"/>
      <c r="BG25" s="90"/>
      <c r="BH25" s="90">
        <v>2</v>
      </c>
      <c r="BI25" s="90">
        <v>1</v>
      </c>
      <c r="BJ25" s="90"/>
      <c r="BK25" s="90"/>
      <c r="BL25" s="122">
        <f t="shared" si="8"/>
        <v>6</v>
      </c>
      <c r="BM25" s="123">
        <f t="shared" si="9"/>
        <v>45</v>
      </c>
      <c r="BN25" s="90"/>
      <c r="BO25" s="90"/>
      <c r="BP25" s="90"/>
      <c r="BQ25" s="90"/>
      <c r="BR25" s="90">
        <v>1</v>
      </c>
      <c r="BS25" s="90"/>
      <c r="BT25" s="90"/>
      <c r="BU25" s="90"/>
      <c r="BV25" s="90"/>
      <c r="BW25" s="90">
        <v>2</v>
      </c>
      <c r="BX25" s="90">
        <v>1</v>
      </c>
      <c r="BY25" s="90"/>
      <c r="BZ25" s="121">
        <f t="shared" si="10"/>
        <v>4</v>
      </c>
      <c r="CA25" s="90">
        <v>1</v>
      </c>
      <c r="CB25" s="90"/>
      <c r="CC25" s="122">
        <f t="shared" si="11"/>
        <v>1</v>
      </c>
      <c r="CD25" s="123">
        <f t="shared" si="12"/>
        <v>12</v>
      </c>
      <c r="CE25" s="125">
        <f t="shared" si="13"/>
        <v>103</v>
      </c>
      <c r="CF25" s="126" t="str">
        <f t="shared" si="14"/>
        <v>5с</v>
      </c>
      <c r="CG25" s="127" t="str">
        <f t="shared" si="15"/>
        <v>пішохідний </v>
      </c>
      <c r="CH25" s="120" t="str">
        <f t="shared" si="16"/>
        <v>І к.с. </v>
      </c>
      <c r="CI25" s="90">
        <f>CE25</f>
        <v>103</v>
      </c>
      <c r="CJ25" s="90">
        <f>CE26</f>
        <v>99</v>
      </c>
      <c r="CK25" s="90">
        <f>CE27</f>
        <v>116</v>
      </c>
      <c r="CL25" s="90">
        <f>CE29</f>
        <v>83</v>
      </c>
      <c r="CO25" s="129"/>
    </row>
    <row r="26" spans="1:93" s="128" customFormat="1" ht="16.5" customHeight="1">
      <c r="A26" s="90" t="s">
        <v>182</v>
      </c>
      <c r="B26" s="118" t="str">
        <f>VLOOKUP(A26,реєстрація!A:AB,5,FALSE)</f>
        <v>пішохідний </v>
      </c>
      <c r="C26" s="119" t="str">
        <f>VLOOKUP(A26,реєстрація!A:AK,6,FALSE)</f>
        <v>І к.с. </v>
      </c>
      <c r="D26" s="127" t="s">
        <v>233</v>
      </c>
      <c r="E26" s="133">
        <v>2</v>
      </c>
      <c r="F26" s="90"/>
      <c r="G26" s="90"/>
      <c r="H26" s="90"/>
      <c r="I26" s="90"/>
      <c r="J26" s="90"/>
      <c r="K26" s="90"/>
      <c r="L26" s="90">
        <v>2</v>
      </c>
      <c r="M26" s="121">
        <f t="shared" si="0"/>
        <v>2</v>
      </c>
      <c r="N26" s="90"/>
      <c r="O26" s="90"/>
      <c r="P26" s="90">
        <v>1</v>
      </c>
      <c r="Q26" s="90"/>
      <c r="R26" s="90"/>
      <c r="S26" s="90"/>
      <c r="T26" s="90"/>
      <c r="U26" s="122">
        <f t="shared" si="1"/>
        <v>1</v>
      </c>
      <c r="V26" s="123">
        <f t="shared" si="2"/>
        <v>14</v>
      </c>
      <c r="W26" s="90"/>
      <c r="X26" s="90">
        <v>1</v>
      </c>
      <c r="Y26" s="90"/>
      <c r="Z26" s="90"/>
      <c r="AA26" s="90"/>
      <c r="AB26" s="90"/>
      <c r="AC26" s="90"/>
      <c r="AD26" s="90"/>
      <c r="AE26" s="90">
        <v>2</v>
      </c>
      <c r="AF26" s="90"/>
      <c r="AG26" s="90"/>
      <c r="AH26" s="121">
        <f t="shared" si="3"/>
        <v>3</v>
      </c>
      <c r="AI26" s="90"/>
      <c r="AJ26" s="90"/>
      <c r="AK26" s="90">
        <v>1</v>
      </c>
      <c r="AL26" s="90">
        <v>1</v>
      </c>
      <c r="AM26" s="122">
        <f t="shared" si="4"/>
        <v>2</v>
      </c>
      <c r="AN26" s="123">
        <f t="shared" si="5"/>
        <v>14</v>
      </c>
      <c r="AO26" s="124">
        <v>1</v>
      </c>
      <c r="AP26" s="90">
        <v>1</v>
      </c>
      <c r="AQ26" s="90"/>
      <c r="AR26" s="90"/>
      <c r="AS26" s="123">
        <f t="shared" si="6"/>
        <v>15</v>
      </c>
      <c r="AT26" s="90"/>
      <c r="AU26" s="90"/>
      <c r="AV26" s="90"/>
      <c r="AW26" s="90"/>
      <c r="AX26" s="90"/>
      <c r="AY26" s="90"/>
      <c r="AZ26" s="90"/>
      <c r="BA26" s="121">
        <f t="shared" si="7"/>
        <v>0</v>
      </c>
      <c r="BB26" s="90"/>
      <c r="BC26" s="90">
        <v>1</v>
      </c>
      <c r="BD26" s="90"/>
      <c r="BE26" s="90"/>
      <c r="BF26" s="90"/>
      <c r="BG26" s="90"/>
      <c r="BH26" s="90"/>
      <c r="BI26" s="90"/>
      <c r="BJ26" s="90">
        <v>1</v>
      </c>
      <c r="BK26" s="90"/>
      <c r="BL26" s="122">
        <f t="shared" si="8"/>
        <v>2</v>
      </c>
      <c r="BM26" s="123">
        <f t="shared" si="9"/>
        <v>42</v>
      </c>
      <c r="BN26" s="90"/>
      <c r="BO26" s="90"/>
      <c r="BP26" s="90"/>
      <c r="BQ26" s="90">
        <v>1</v>
      </c>
      <c r="BR26" s="90"/>
      <c r="BS26" s="90"/>
      <c r="BT26" s="90"/>
      <c r="BU26" s="90"/>
      <c r="BV26" s="90"/>
      <c r="BW26" s="90"/>
      <c r="BX26" s="90"/>
      <c r="BY26" s="90"/>
      <c r="BZ26" s="121">
        <f t="shared" si="10"/>
        <v>1</v>
      </c>
      <c r="CA26" s="90"/>
      <c r="CB26" s="90"/>
      <c r="CC26" s="122">
        <f t="shared" si="11"/>
        <v>0</v>
      </c>
      <c r="CD26" s="123">
        <f t="shared" si="12"/>
        <v>14</v>
      </c>
      <c r="CE26" s="125">
        <f t="shared" si="13"/>
        <v>99</v>
      </c>
      <c r="CF26" s="126" t="str">
        <f t="shared" si="14"/>
        <v>5с</v>
      </c>
      <c r="CG26" s="127" t="str">
        <f t="shared" si="15"/>
        <v>пішохідний </v>
      </c>
      <c r="CH26" s="120" t="str">
        <f t="shared" si="16"/>
        <v>І к.с. </v>
      </c>
      <c r="CI26" s="90"/>
      <c r="CJ26" s="90"/>
      <c r="CK26" s="90"/>
      <c r="CL26" s="90"/>
      <c r="CO26" s="137"/>
    </row>
    <row r="27" spans="1:93" s="128" customFormat="1" ht="16.5" customHeight="1">
      <c r="A27" s="90" t="s">
        <v>182</v>
      </c>
      <c r="B27" s="118" t="str">
        <f>VLOOKUP(A27,реєстрація!A:AB,5,FALSE)</f>
        <v>пішохідний </v>
      </c>
      <c r="C27" s="119" t="str">
        <f>VLOOKUP(A27,реєстрація!A:AK,6,FALSE)</f>
        <v>І к.с. </v>
      </c>
      <c r="D27" s="127" t="s">
        <v>234</v>
      </c>
      <c r="E27" s="133">
        <v>3</v>
      </c>
      <c r="F27" s="90"/>
      <c r="G27" s="90"/>
      <c r="H27" s="90"/>
      <c r="I27" s="90"/>
      <c r="J27" s="90"/>
      <c r="K27" s="90"/>
      <c r="L27" s="90"/>
      <c r="M27" s="121">
        <f t="shared" si="0"/>
        <v>0</v>
      </c>
      <c r="N27" s="90">
        <v>1</v>
      </c>
      <c r="O27" s="90"/>
      <c r="P27" s="90"/>
      <c r="Q27" s="90"/>
      <c r="R27" s="90"/>
      <c r="S27" s="90"/>
      <c r="T27" s="90">
        <v>1</v>
      </c>
      <c r="U27" s="122">
        <f t="shared" si="1"/>
        <v>2</v>
      </c>
      <c r="V27" s="123">
        <f t="shared" si="2"/>
        <v>17</v>
      </c>
      <c r="W27" s="90"/>
      <c r="X27" s="90"/>
      <c r="Y27" s="90"/>
      <c r="Z27" s="90"/>
      <c r="AA27" s="90"/>
      <c r="AB27" s="90"/>
      <c r="AC27" s="90"/>
      <c r="AD27" s="90"/>
      <c r="AE27" s="90">
        <v>1</v>
      </c>
      <c r="AF27" s="90"/>
      <c r="AG27" s="90"/>
      <c r="AH27" s="121">
        <f t="shared" si="3"/>
        <v>1</v>
      </c>
      <c r="AI27" s="90">
        <v>1</v>
      </c>
      <c r="AJ27" s="90"/>
      <c r="AK27" s="90">
        <v>2</v>
      </c>
      <c r="AL27" s="90">
        <v>1</v>
      </c>
      <c r="AM27" s="122">
        <f t="shared" si="4"/>
        <v>4</v>
      </c>
      <c r="AN27" s="123">
        <f t="shared" si="5"/>
        <v>18</v>
      </c>
      <c r="AO27" s="124"/>
      <c r="AP27" s="90"/>
      <c r="AQ27" s="90">
        <v>3</v>
      </c>
      <c r="AR27" s="90">
        <v>3</v>
      </c>
      <c r="AS27" s="123">
        <f t="shared" si="6"/>
        <v>21</v>
      </c>
      <c r="AT27" s="90"/>
      <c r="AU27" s="90"/>
      <c r="AV27" s="90"/>
      <c r="AW27" s="90">
        <v>1</v>
      </c>
      <c r="AX27" s="90"/>
      <c r="AY27" s="90"/>
      <c r="AZ27" s="90"/>
      <c r="BA27" s="121">
        <f t="shared" si="7"/>
        <v>1</v>
      </c>
      <c r="BB27" s="90"/>
      <c r="BC27" s="90">
        <v>3</v>
      </c>
      <c r="BD27" s="90"/>
      <c r="BE27" s="90"/>
      <c r="BF27" s="90"/>
      <c r="BG27" s="90"/>
      <c r="BH27" s="90">
        <v>2</v>
      </c>
      <c r="BI27" s="90"/>
      <c r="BJ27" s="90"/>
      <c r="BK27" s="90"/>
      <c r="BL27" s="122">
        <f t="shared" si="8"/>
        <v>5</v>
      </c>
      <c r="BM27" s="123">
        <f t="shared" si="9"/>
        <v>44</v>
      </c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121">
        <f t="shared" si="10"/>
        <v>0</v>
      </c>
      <c r="CA27" s="90">
        <v>1</v>
      </c>
      <c r="CB27" s="90"/>
      <c r="CC27" s="122">
        <f t="shared" si="11"/>
        <v>1</v>
      </c>
      <c r="CD27" s="123">
        <f t="shared" si="12"/>
        <v>16</v>
      </c>
      <c r="CE27" s="125">
        <f t="shared" si="13"/>
        <v>116</v>
      </c>
      <c r="CF27" s="126" t="str">
        <f t="shared" si="14"/>
        <v>5с</v>
      </c>
      <c r="CG27" s="127" t="str">
        <f t="shared" si="15"/>
        <v>пішохідний </v>
      </c>
      <c r="CH27" s="120" t="str">
        <f t="shared" si="16"/>
        <v>І к.с. </v>
      </c>
      <c r="CI27" s="90"/>
      <c r="CJ27" s="90"/>
      <c r="CK27" s="90"/>
      <c r="CL27" s="90"/>
      <c r="CO27" s="129"/>
    </row>
    <row r="28" spans="1:93" s="128" customFormat="1" ht="16.5" customHeight="1">
      <c r="A28" s="90" t="s">
        <v>182</v>
      </c>
      <c r="B28" s="118" t="str">
        <f>VLOOKUP(A28,реєстрація!A:AB,5,FALSE)</f>
        <v>пішохідний </v>
      </c>
      <c r="C28" s="119" t="str">
        <f>VLOOKUP(A28,реєстрація!A:AK,6,FALSE)</f>
        <v>І к.с. </v>
      </c>
      <c r="D28" s="127" t="s">
        <v>235</v>
      </c>
      <c r="E28" s="133">
        <v>4</v>
      </c>
      <c r="F28" s="90"/>
      <c r="G28" s="90"/>
      <c r="H28" s="90"/>
      <c r="I28" s="90"/>
      <c r="J28" s="90"/>
      <c r="K28" s="90"/>
      <c r="L28" s="90"/>
      <c r="M28" s="121">
        <f>SUM(F28:L28)</f>
        <v>0</v>
      </c>
      <c r="N28" s="90">
        <v>1</v>
      </c>
      <c r="O28" s="90">
        <v>1</v>
      </c>
      <c r="P28" s="90">
        <v>1</v>
      </c>
      <c r="Q28" s="90"/>
      <c r="R28" s="90"/>
      <c r="S28" s="90"/>
      <c r="T28" s="90"/>
      <c r="U28" s="122">
        <f>SUM(N28:T28)</f>
        <v>3</v>
      </c>
      <c r="V28" s="123">
        <f>15-M28+U28</f>
        <v>18</v>
      </c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121">
        <f>SUM(W28:AG28)</f>
        <v>0</v>
      </c>
      <c r="AI28" s="90"/>
      <c r="AJ28" s="90"/>
      <c r="AK28" s="90">
        <v>2</v>
      </c>
      <c r="AL28" s="90">
        <v>1</v>
      </c>
      <c r="AM28" s="122">
        <f>SUM(AI28:AL28)</f>
        <v>3</v>
      </c>
      <c r="AN28" s="123">
        <f>15-AH28+AM28</f>
        <v>18</v>
      </c>
      <c r="AO28" s="124"/>
      <c r="AP28" s="90">
        <v>2</v>
      </c>
      <c r="AQ28" s="90"/>
      <c r="AR28" s="90"/>
      <c r="AS28" s="123">
        <f>15+AP28+AQ28+AR28-AO28</f>
        <v>17</v>
      </c>
      <c r="AT28" s="90"/>
      <c r="AU28" s="90"/>
      <c r="AV28" s="90"/>
      <c r="AW28" s="90"/>
      <c r="AX28" s="90"/>
      <c r="AY28" s="90"/>
      <c r="AZ28" s="90"/>
      <c r="BA28" s="121">
        <f>SUM(AT28:AZ28)</f>
        <v>0</v>
      </c>
      <c r="BB28" s="90"/>
      <c r="BC28" s="90">
        <v>2</v>
      </c>
      <c r="BD28" s="90">
        <v>1</v>
      </c>
      <c r="BE28" s="90"/>
      <c r="BF28" s="90"/>
      <c r="BG28" s="90"/>
      <c r="BH28" s="90">
        <v>3</v>
      </c>
      <c r="BI28" s="90">
        <v>1</v>
      </c>
      <c r="BJ28" s="90"/>
      <c r="BK28" s="90"/>
      <c r="BL28" s="122">
        <f>SUM(BB28:BK28)</f>
        <v>7</v>
      </c>
      <c r="BM28" s="123">
        <f>40+BL28-BA28</f>
        <v>47</v>
      </c>
      <c r="BN28" s="90"/>
      <c r="BO28" s="90"/>
      <c r="BP28" s="90">
        <v>2</v>
      </c>
      <c r="BQ28" s="90"/>
      <c r="BR28" s="90"/>
      <c r="BS28" s="90"/>
      <c r="BT28" s="90"/>
      <c r="BU28" s="90"/>
      <c r="BV28" s="90"/>
      <c r="BW28" s="90"/>
      <c r="BX28" s="90"/>
      <c r="BY28" s="90"/>
      <c r="BZ28" s="121">
        <f>SUM(BN28:BY28)</f>
        <v>2</v>
      </c>
      <c r="CA28" s="90">
        <v>1</v>
      </c>
      <c r="CB28" s="90"/>
      <c r="CC28" s="122">
        <f>SUM(CA28:CB28)</f>
        <v>1</v>
      </c>
      <c r="CD28" s="123">
        <f>15+CC28-BZ28</f>
        <v>14</v>
      </c>
      <c r="CE28" s="125">
        <f>SUM(CD28,BM28,AS28,AN28,V28)</f>
        <v>114</v>
      </c>
      <c r="CF28" s="126" t="str">
        <f>A28</f>
        <v>5с</v>
      </c>
      <c r="CG28" s="127" t="str">
        <f>B28</f>
        <v>пішохідний </v>
      </c>
      <c r="CH28" s="120" t="str">
        <f>C28</f>
        <v>І к.с. </v>
      </c>
      <c r="CI28" s="90"/>
      <c r="CJ28" s="90"/>
      <c r="CK28" s="90"/>
      <c r="CL28" s="90"/>
      <c r="CO28" s="129"/>
    </row>
    <row r="29" spans="1:93" s="128" customFormat="1" ht="16.5" customHeight="1">
      <c r="A29" s="90" t="s">
        <v>179</v>
      </c>
      <c r="B29" s="118" t="str">
        <f>VLOOKUP(A29,реєстрація!A:AB,5,FALSE)</f>
        <v>пішохідний </v>
      </c>
      <c r="C29" s="119" t="str">
        <f>VLOOKUP(A29,реєстрація!A:AK,6,FALSE)</f>
        <v>ІІ к.с.</v>
      </c>
      <c r="D29" s="127" t="s">
        <v>227</v>
      </c>
      <c r="E29" s="133">
        <v>1</v>
      </c>
      <c r="F29" s="90"/>
      <c r="G29" s="90"/>
      <c r="H29" s="90"/>
      <c r="I29" s="90"/>
      <c r="J29" s="90"/>
      <c r="K29" s="90"/>
      <c r="L29" s="90"/>
      <c r="M29" s="121">
        <f t="shared" si="0"/>
        <v>0</v>
      </c>
      <c r="N29" s="90"/>
      <c r="O29" s="90"/>
      <c r="P29" s="90"/>
      <c r="Q29" s="90"/>
      <c r="R29" s="90"/>
      <c r="S29" s="90"/>
      <c r="T29" s="90"/>
      <c r="U29" s="122">
        <f t="shared" si="1"/>
        <v>0</v>
      </c>
      <c r="V29" s="123">
        <f t="shared" si="2"/>
        <v>15</v>
      </c>
      <c r="W29" s="90"/>
      <c r="X29" s="90"/>
      <c r="Y29" s="90"/>
      <c r="Z29" s="90"/>
      <c r="AA29" s="90">
        <v>4</v>
      </c>
      <c r="AB29" s="90"/>
      <c r="AC29" s="90"/>
      <c r="AD29" s="90">
        <v>5</v>
      </c>
      <c r="AE29" s="90"/>
      <c r="AF29" s="90"/>
      <c r="AG29" s="90"/>
      <c r="AH29" s="121">
        <f t="shared" si="3"/>
        <v>9</v>
      </c>
      <c r="AI29" s="90"/>
      <c r="AJ29" s="90"/>
      <c r="AK29" s="90"/>
      <c r="AL29" s="90"/>
      <c r="AM29" s="122">
        <f t="shared" si="4"/>
        <v>0</v>
      </c>
      <c r="AN29" s="123">
        <f t="shared" si="5"/>
        <v>6</v>
      </c>
      <c r="AO29" s="124"/>
      <c r="AP29" s="90"/>
      <c r="AQ29" s="90"/>
      <c r="AR29" s="90"/>
      <c r="AS29" s="123">
        <f t="shared" si="6"/>
        <v>15</v>
      </c>
      <c r="AT29" s="90">
        <v>4</v>
      </c>
      <c r="AU29" s="90">
        <v>3</v>
      </c>
      <c r="AV29" s="90"/>
      <c r="AW29" s="90"/>
      <c r="AX29" s="90"/>
      <c r="AY29" s="90"/>
      <c r="AZ29" s="90"/>
      <c r="BA29" s="121">
        <f t="shared" si="7"/>
        <v>7</v>
      </c>
      <c r="BB29" s="90"/>
      <c r="BC29" s="90"/>
      <c r="BD29" s="90">
        <v>3</v>
      </c>
      <c r="BE29" s="90"/>
      <c r="BF29" s="90"/>
      <c r="BG29" s="90"/>
      <c r="BH29" s="90">
        <v>2</v>
      </c>
      <c r="BI29" s="90"/>
      <c r="BJ29" s="90"/>
      <c r="BK29" s="90"/>
      <c r="BL29" s="122">
        <f t="shared" si="8"/>
        <v>5</v>
      </c>
      <c r="BM29" s="123">
        <f t="shared" si="9"/>
        <v>38</v>
      </c>
      <c r="BN29" s="90"/>
      <c r="BO29" s="90"/>
      <c r="BP29" s="90"/>
      <c r="BQ29" s="90">
        <v>1</v>
      </c>
      <c r="BR29" s="90">
        <v>1</v>
      </c>
      <c r="BS29" s="90"/>
      <c r="BT29" s="90">
        <v>1</v>
      </c>
      <c r="BU29" s="90"/>
      <c r="BV29" s="90">
        <v>3</v>
      </c>
      <c r="BW29" s="90"/>
      <c r="BX29" s="90"/>
      <c r="BY29" s="90"/>
      <c r="BZ29" s="121">
        <f t="shared" si="10"/>
        <v>6</v>
      </c>
      <c r="CA29" s="90"/>
      <c r="CB29" s="90"/>
      <c r="CC29" s="122">
        <f t="shared" si="11"/>
        <v>0</v>
      </c>
      <c r="CD29" s="123">
        <f t="shared" si="12"/>
        <v>9</v>
      </c>
      <c r="CE29" s="125">
        <f t="shared" si="13"/>
        <v>83</v>
      </c>
      <c r="CF29" s="126" t="str">
        <f t="shared" si="14"/>
        <v>2с</v>
      </c>
      <c r="CG29" s="127" t="str">
        <f t="shared" si="15"/>
        <v>пішохідний </v>
      </c>
      <c r="CH29" s="120" t="str">
        <f t="shared" si="16"/>
        <v>ІІ к.с.</v>
      </c>
      <c r="CI29" s="90">
        <f>CE29</f>
        <v>83</v>
      </c>
      <c r="CJ29" s="90">
        <f>CE30</f>
        <v>101</v>
      </c>
      <c r="CK29" s="90">
        <f>CE31</f>
        <v>107</v>
      </c>
      <c r="CL29" s="90"/>
      <c r="CO29" s="129"/>
    </row>
    <row r="30" spans="1:93" s="128" customFormat="1" ht="16.5" customHeight="1">
      <c r="A30" s="90" t="s">
        <v>179</v>
      </c>
      <c r="B30" s="118" t="str">
        <f>VLOOKUP(A30,реєстрація!A:AB,5,FALSE)</f>
        <v>пішохідний </v>
      </c>
      <c r="C30" s="119" t="str">
        <f>VLOOKUP(A30,реєстрація!A:AK,6,FALSE)</f>
        <v>ІІ к.с.</v>
      </c>
      <c r="D30" s="127" t="s">
        <v>236</v>
      </c>
      <c r="E30" s="133">
        <v>2</v>
      </c>
      <c r="F30" s="90"/>
      <c r="G30" s="90"/>
      <c r="H30" s="90"/>
      <c r="I30" s="90"/>
      <c r="J30" s="90"/>
      <c r="K30" s="90"/>
      <c r="L30" s="90"/>
      <c r="M30" s="121">
        <f t="shared" si="0"/>
        <v>0</v>
      </c>
      <c r="N30" s="90"/>
      <c r="O30" s="90"/>
      <c r="P30" s="90"/>
      <c r="Q30" s="90"/>
      <c r="R30" s="90"/>
      <c r="S30" s="90"/>
      <c r="T30" s="90"/>
      <c r="U30" s="122">
        <f t="shared" si="1"/>
        <v>0</v>
      </c>
      <c r="V30" s="123">
        <f t="shared" si="2"/>
        <v>15</v>
      </c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121">
        <f t="shared" si="3"/>
        <v>0</v>
      </c>
      <c r="AI30" s="90"/>
      <c r="AJ30" s="90"/>
      <c r="AK30" s="90"/>
      <c r="AL30" s="90"/>
      <c r="AM30" s="122">
        <f t="shared" si="4"/>
        <v>0</v>
      </c>
      <c r="AN30" s="123">
        <f t="shared" si="5"/>
        <v>15</v>
      </c>
      <c r="AO30" s="124"/>
      <c r="AP30" s="90"/>
      <c r="AQ30" s="90"/>
      <c r="AR30" s="90"/>
      <c r="AS30" s="123">
        <f t="shared" si="6"/>
        <v>15</v>
      </c>
      <c r="AT30" s="90"/>
      <c r="AU30" s="90"/>
      <c r="AV30" s="90"/>
      <c r="AW30" s="90"/>
      <c r="AX30" s="90"/>
      <c r="AY30" s="90"/>
      <c r="AZ30" s="90"/>
      <c r="BA30" s="121">
        <f t="shared" si="7"/>
        <v>0</v>
      </c>
      <c r="BB30" s="90"/>
      <c r="BC30" s="90"/>
      <c r="BD30" s="90">
        <v>2</v>
      </c>
      <c r="BE30" s="90"/>
      <c r="BF30" s="90"/>
      <c r="BG30" s="90"/>
      <c r="BH30" s="90"/>
      <c r="BI30" s="90"/>
      <c r="BJ30" s="90"/>
      <c r="BK30" s="90"/>
      <c r="BL30" s="122">
        <f t="shared" si="8"/>
        <v>2</v>
      </c>
      <c r="BM30" s="123">
        <f t="shared" si="9"/>
        <v>42</v>
      </c>
      <c r="BN30" s="90"/>
      <c r="BO30" s="90"/>
      <c r="BP30" s="90"/>
      <c r="BQ30" s="90">
        <v>1</v>
      </c>
      <c r="BR30" s="90"/>
      <c r="BS30" s="90"/>
      <c r="BT30" s="90"/>
      <c r="BU30" s="90"/>
      <c r="BV30" s="90"/>
      <c r="BW30" s="90"/>
      <c r="BX30" s="90"/>
      <c r="BY30" s="90"/>
      <c r="BZ30" s="121">
        <f t="shared" si="10"/>
        <v>1</v>
      </c>
      <c r="CA30" s="90"/>
      <c r="CB30" s="90"/>
      <c r="CC30" s="122">
        <f t="shared" si="11"/>
        <v>0</v>
      </c>
      <c r="CD30" s="123">
        <f t="shared" si="12"/>
        <v>14</v>
      </c>
      <c r="CE30" s="125">
        <f t="shared" si="13"/>
        <v>101</v>
      </c>
      <c r="CF30" s="126" t="str">
        <f t="shared" si="14"/>
        <v>2с</v>
      </c>
      <c r="CG30" s="127" t="str">
        <f t="shared" si="15"/>
        <v>пішохідний </v>
      </c>
      <c r="CH30" s="120" t="str">
        <f t="shared" si="16"/>
        <v>ІІ к.с.</v>
      </c>
      <c r="CI30" s="90"/>
      <c r="CJ30" s="90"/>
      <c r="CK30" s="90"/>
      <c r="CL30" s="90"/>
      <c r="CO30" s="129"/>
    </row>
    <row r="31" spans="1:93" s="128" customFormat="1" ht="16.5" customHeight="1">
      <c r="A31" s="90" t="s">
        <v>179</v>
      </c>
      <c r="B31" s="118" t="str">
        <f>VLOOKUP(A31,реєстрація!A:AB,5,FALSE)</f>
        <v>пішохідний </v>
      </c>
      <c r="C31" s="119" t="str">
        <f>VLOOKUP(A31,реєстрація!A:AK,6,FALSE)</f>
        <v>ІІ к.с.</v>
      </c>
      <c r="D31" s="127" t="s">
        <v>237</v>
      </c>
      <c r="E31" s="133">
        <v>3</v>
      </c>
      <c r="F31" s="90"/>
      <c r="G31" s="90"/>
      <c r="H31" s="90"/>
      <c r="I31" s="90"/>
      <c r="J31" s="90"/>
      <c r="K31" s="90"/>
      <c r="L31" s="90"/>
      <c r="M31" s="121">
        <f t="shared" si="0"/>
        <v>0</v>
      </c>
      <c r="N31" s="90">
        <v>1</v>
      </c>
      <c r="O31" s="90"/>
      <c r="P31" s="90"/>
      <c r="Q31" s="90"/>
      <c r="R31" s="90"/>
      <c r="S31" s="90"/>
      <c r="T31" s="90"/>
      <c r="U31" s="122">
        <f t="shared" si="1"/>
        <v>1</v>
      </c>
      <c r="V31" s="123">
        <f t="shared" si="2"/>
        <v>16</v>
      </c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121">
        <f t="shared" si="3"/>
        <v>0</v>
      </c>
      <c r="AI31" s="90"/>
      <c r="AJ31" s="90"/>
      <c r="AK31" s="90"/>
      <c r="AL31" s="90">
        <v>2</v>
      </c>
      <c r="AM31" s="122">
        <f t="shared" si="4"/>
        <v>2</v>
      </c>
      <c r="AN31" s="123">
        <f t="shared" si="5"/>
        <v>17</v>
      </c>
      <c r="AO31" s="124"/>
      <c r="AP31" s="90"/>
      <c r="AQ31" s="90"/>
      <c r="AR31" s="90"/>
      <c r="AS31" s="123">
        <f t="shared" si="6"/>
        <v>15</v>
      </c>
      <c r="AT31" s="90"/>
      <c r="AU31" s="90"/>
      <c r="AV31" s="90"/>
      <c r="AW31" s="90"/>
      <c r="AX31" s="90"/>
      <c r="AY31" s="90"/>
      <c r="AZ31" s="90"/>
      <c r="BA31" s="121">
        <f t="shared" si="7"/>
        <v>0</v>
      </c>
      <c r="BB31" s="90">
        <v>1</v>
      </c>
      <c r="BC31" s="90">
        <v>1</v>
      </c>
      <c r="BD31" s="90">
        <v>1</v>
      </c>
      <c r="BE31" s="90"/>
      <c r="BF31" s="90"/>
      <c r="BG31" s="90"/>
      <c r="BH31" s="90"/>
      <c r="BI31" s="90"/>
      <c r="BJ31" s="90"/>
      <c r="BK31" s="90">
        <v>1</v>
      </c>
      <c r="BL31" s="122">
        <f t="shared" si="8"/>
        <v>4</v>
      </c>
      <c r="BM31" s="123">
        <f t="shared" si="9"/>
        <v>44</v>
      </c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121">
        <f t="shared" si="10"/>
        <v>0</v>
      </c>
      <c r="CA31" s="90"/>
      <c r="CB31" s="90"/>
      <c r="CC31" s="122">
        <f t="shared" si="11"/>
        <v>0</v>
      </c>
      <c r="CD31" s="123">
        <f t="shared" si="12"/>
        <v>15</v>
      </c>
      <c r="CE31" s="125">
        <f t="shared" si="13"/>
        <v>107</v>
      </c>
      <c r="CF31" s="126" t="str">
        <f t="shared" si="14"/>
        <v>2с</v>
      </c>
      <c r="CG31" s="127" t="str">
        <f t="shared" si="15"/>
        <v>пішохідний </v>
      </c>
      <c r="CH31" s="120" t="str">
        <f t="shared" si="16"/>
        <v>ІІ к.с.</v>
      </c>
      <c r="CI31" s="90"/>
      <c r="CJ31" s="90"/>
      <c r="CK31" s="90"/>
      <c r="CL31" s="90"/>
      <c r="CO31" s="129"/>
    </row>
    <row r="32" spans="1:93" s="128" customFormat="1" ht="16.5" customHeight="1">
      <c r="A32" s="90" t="s">
        <v>181</v>
      </c>
      <c r="B32" s="118" t="str">
        <f>VLOOKUP(A32,реєстрація!A:AB,5,FALSE)</f>
        <v>пішохідний </v>
      </c>
      <c r="C32" s="119" t="str">
        <f>VLOOKUP(A32,реєстрація!A:AK,6,FALSE)</f>
        <v>ІІ к.с.</v>
      </c>
      <c r="D32" s="127" t="s">
        <v>227</v>
      </c>
      <c r="E32" s="133">
        <v>1</v>
      </c>
      <c r="F32" s="90">
        <v>2</v>
      </c>
      <c r="G32" s="90"/>
      <c r="H32" s="90"/>
      <c r="I32" s="90"/>
      <c r="J32" s="90">
        <v>1</v>
      </c>
      <c r="K32" s="90">
        <v>1</v>
      </c>
      <c r="L32" s="90"/>
      <c r="M32" s="121">
        <f t="shared" si="0"/>
        <v>4</v>
      </c>
      <c r="N32" s="90"/>
      <c r="O32" s="90">
        <v>2</v>
      </c>
      <c r="P32" s="90"/>
      <c r="Q32" s="90"/>
      <c r="R32" s="90"/>
      <c r="S32" s="90"/>
      <c r="T32" s="90"/>
      <c r="U32" s="122">
        <f t="shared" si="1"/>
        <v>2</v>
      </c>
      <c r="V32" s="123">
        <f t="shared" si="2"/>
        <v>13</v>
      </c>
      <c r="W32" s="90"/>
      <c r="X32" s="90"/>
      <c r="Y32" s="90"/>
      <c r="Z32" s="90"/>
      <c r="AA32" s="90"/>
      <c r="AB32" s="90"/>
      <c r="AC32" s="90"/>
      <c r="AD32" s="90">
        <v>4</v>
      </c>
      <c r="AE32" s="90"/>
      <c r="AF32" s="90"/>
      <c r="AG32" s="90"/>
      <c r="AH32" s="121">
        <f t="shared" si="3"/>
        <v>4</v>
      </c>
      <c r="AI32" s="90"/>
      <c r="AJ32" s="90"/>
      <c r="AK32" s="90"/>
      <c r="AL32" s="90">
        <v>1</v>
      </c>
      <c r="AM32" s="122">
        <f t="shared" si="4"/>
        <v>1</v>
      </c>
      <c r="AN32" s="123">
        <f t="shared" si="5"/>
        <v>12</v>
      </c>
      <c r="AO32" s="124"/>
      <c r="AP32" s="90"/>
      <c r="AQ32" s="90"/>
      <c r="AR32" s="90"/>
      <c r="AS32" s="123">
        <f t="shared" si="6"/>
        <v>15</v>
      </c>
      <c r="AT32" s="90">
        <v>2</v>
      </c>
      <c r="AU32" s="90">
        <v>3</v>
      </c>
      <c r="AV32" s="90"/>
      <c r="AW32" s="90"/>
      <c r="AX32" s="90"/>
      <c r="AY32" s="90"/>
      <c r="AZ32" s="90">
        <v>1</v>
      </c>
      <c r="BA32" s="121">
        <f t="shared" si="7"/>
        <v>6</v>
      </c>
      <c r="BB32" s="90">
        <v>1</v>
      </c>
      <c r="BC32" s="90"/>
      <c r="BD32" s="90">
        <v>3</v>
      </c>
      <c r="BE32" s="90"/>
      <c r="BF32" s="90"/>
      <c r="BG32" s="90"/>
      <c r="BH32" s="90">
        <v>2</v>
      </c>
      <c r="BI32" s="90"/>
      <c r="BJ32" s="90"/>
      <c r="BK32" s="90"/>
      <c r="BL32" s="122">
        <f t="shared" si="8"/>
        <v>6</v>
      </c>
      <c r="BM32" s="123">
        <f t="shared" si="9"/>
        <v>40</v>
      </c>
      <c r="BN32" s="90"/>
      <c r="BO32" s="90"/>
      <c r="BP32" s="90"/>
      <c r="BQ32" s="90"/>
      <c r="BR32" s="90"/>
      <c r="BS32" s="90"/>
      <c r="BT32" s="90"/>
      <c r="BU32" s="90"/>
      <c r="BV32" s="90"/>
      <c r="BW32" s="90">
        <v>1</v>
      </c>
      <c r="BX32" s="90"/>
      <c r="BY32" s="90"/>
      <c r="BZ32" s="121">
        <f t="shared" si="10"/>
        <v>1</v>
      </c>
      <c r="CA32" s="90"/>
      <c r="CB32" s="90"/>
      <c r="CC32" s="122">
        <f t="shared" si="11"/>
        <v>0</v>
      </c>
      <c r="CD32" s="123">
        <f t="shared" si="12"/>
        <v>14</v>
      </c>
      <c r="CE32" s="125">
        <f t="shared" si="13"/>
        <v>94</v>
      </c>
      <c r="CF32" s="126" t="str">
        <f t="shared" si="14"/>
        <v>4с</v>
      </c>
      <c r="CG32" s="127" t="str">
        <f t="shared" si="15"/>
        <v>пішохідний </v>
      </c>
      <c r="CH32" s="120" t="str">
        <f t="shared" si="16"/>
        <v>ІІ к.с.</v>
      </c>
      <c r="CI32" s="90">
        <f>CE32</f>
        <v>94</v>
      </c>
      <c r="CJ32" s="90">
        <f>CE33</f>
        <v>99</v>
      </c>
      <c r="CK32" s="90">
        <f>CE34</f>
        <v>104</v>
      </c>
      <c r="CL32" s="90"/>
      <c r="CO32" s="129"/>
    </row>
    <row r="33" spans="1:93" s="128" customFormat="1" ht="17.25" customHeight="1">
      <c r="A33" s="90" t="s">
        <v>181</v>
      </c>
      <c r="B33" s="118" t="str">
        <f>VLOOKUP(A33,реєстрація!A:AB,5,FALSE)</f>
        <v>пішохідний </v>
      </c>
      <c r="C33" s="119" t="str">
        <f>VLOOKUP(A33,реєстрація!A:AK,6,FALSE)</f>
        <v>ІІ к.с.</v>
      </c>
      <c r="D33" s="127" t="s">
        <v>236</v>
      </c>
      <c r="E33" s="133">
        <v>2</v>
      </c>
      <c r="F33" s="90">
        <v>1</v>
      </c>
      <c r="G33" s="90"/>
      <c r="H33" s="90"/>
      <c r="I33" s="90"/>
      <c r="J33" s="90">
        <v>1</v>
      </c>
      <c r="K33" s="90"/>
      <c r="L33" s="90"/>
      <c r="M33" s="121">
        <f t="shared" si="0"/>
        <v>2</v>
      </c>
      <c r="N33" s="90"/>
      <c r="O33" s="90"/>
      <c r="P33" s="90">
        <v>1</v>
      </c>
      <c r="Q33" s="90"/>
      <c r="R33" s="90"/>
      <c r="S33" s="90"/>
      <c r="T33" s="90"/>
      <c r="U33" s="122">
        <f t="shared" si="1"/>
        <v>1</v>
      </c>
      <c r="V33" s="123">
        <f t="shared" si="2"/>
        <v>14</v>
      </c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121">
        <f t="shared" si="3"/>
        <v>0</v>
      </c>
      <c r="AI33" s="90"/>
      <c r="AJ33" s="90"/>
      <c r="AK33" s="90"/>
      <c r="AL33" s="90">
        <v>1</v>
      </c>
      <c r="AM33" s="122">
        <f t="shared" si="4"/>
        <v>1</v>
      </c>
      <c r="AN33" s="123">
        <f t="shared" si="5"/>
        <v>16</v>
      </c>
      <c r="AO33" s="124"/>
      <c r="AP33" s="90"/>
      <c r="AQ33" s="90"/>
      <c r="AR33" s="90"/>
      <c r="AS33" s="123">
        <f t="shared" si="6"/>
        <v>15</v>
      </c>
      <c r="AT33" s="90"/>
      <c r="AU33" s="90"/>
      <c r="AV33" s="90"/>
      <c r="AW33" s="90"/>
      <c r="AX33" s="90"/>
      <c r="AY33" s="90"/>
      <c r="AZ33" s="90"/>
      <c r="BA33" s="121">
        <f t="shared" si="7"/>
        <v>0</v>
      </c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122">
        <f t="shared" si="8"/>
        <v>0</v>
      </c>
      <c r="BM33" s="123">
        <f t="shared" si="9"/>
        <v>40</v>
      </c>
      <c r="BN33" s="90"/>
      <c r="BO33" s="90"/>
      <c r="BP33" s="90"/>
      <c r="BQ33" s="90">
        <v>1</v>
      </c>
      <c r="BR33" s="90"/>
      <c r="BS33" s="90"/>
      <c r="BT33" s="90"/>
      <c r="BU33" s="90"/>
      <c r="BV33" s="90"/>
      <c r="BW33" s="90"/>
      <c r="BX33" s="90"/>
      <c r="BY33" s="90"/>
      <c r="BZ33" s="121">
        <f t="shared" si="10"/>
        <v>1</v>
      </c>
      <c r="CA33" s="90"/>
      <c r="CB33" s="90"/>
      <c r="CC33" s="122">
        <f t="shared" si="11"/>
        <v>0</v>
      </c>
      <c r="CD33" s="123">
        <f t="shared" si="12"/>
        <v>14</v>
      </c>
      <c r="CE33" s="125">
        <f t="shared" si="13"/>
        <v>99</v>
      </c>
      <c r="CF33" s="126" t="str">
        <f t="shared" si="14"/>
        <v>4с</v>
      </c>
      <c r="CG33" s="127" t="str">
        <f t="shared" si="15"/>
        <v>пішохідний </v>
      </c>
      <c r="CH33" s="120" t="str">
        <f t="shared" si="16"/>
        <v>ІІ к.с.</v>
      </c>
      <c r="CI33" s="90"/>
      <c r="CJ33" s="90"/>
      <c r="CK33" s="90"/>
      <c r="CL33" s="90"/>
      <c r="CO33" s="129"/>
    </row>
    <row r="34" spans="1:93" s="128" customFormat="1" ht="16.5" customHeight="1">
      <c r="A34" s="90" t="s">
        <v>181</v>
      </c>
      <c r="B34" s="118" t="str">
        <f>VLOOKUP(A34,реєстрація!A:AB,5,FALSE)</f>
        <v>пішохідний </v>
      </c>
      <c r="C34" s="119" t="str">
        <f>VLOOKUP(A34,реєстрація!A:AK,6,FALSE)</f>
        <v>ІІ к.с.</v>
      </c>
      <c r="D34" s="127" t="s">
        <v>237</v>
      </c>
      <c r="E34" s="133">
        <v>3</v>
      </c>
      <c r="F34" s="90"/>
      <c r="G34" s="90"/>
      <c r="H34" s="90"/>
      <c r="I34" s="90"/>
      <c r="J34" s="90"/>
      <c r="K34" s="90"/>
      <c r="L34" s="90"/>
      <c r="M34" s="121">
        <f t="shared" si="0"/>
        <v>0</v>
      </c>
      <c r="N34" s="90"/>
      <c r="O34" s="90"/>
      <c r="P34" s="90"/>
      <c r="Q34" s="90"/>
      <c r="R34" s="90"/>
      <c r="S34" s="90"/>
      <c r="T34" s="90"/>
      <c r="U34" s="122">
        <f t="shared" si="1"/>
        <v>0</v>
      </c>
      <c r="V34" s="123">
        <f t="shared" si="2"/>
        <v>15</v>
      </c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121">
        <f t="shared" si="3"/>
        <v>0</v>
      </c>
      <c r="AI34" s="90"/>
      <c r="AJ34" s="90"/>
      <c r="AK34" s="90"/>
      <c r="AL34" s="90">
        <v>1</v>
      </c>
      <c r="AM34" s="122">
        <f t="shared" si="4"/>
        <v>1</v>
      </c>
      <c r="AN34" s="123">
        <f t="shared" si="5"/>
        <v>16</v>
      </c>
      <c r="AO34" s="124"/>
      <c r="AP34" s="90"/>
      <c r="AQ34" s="90"/>
      <c r="AR34" s="90"/>
      <c r="AS34" s="123">
        <f t="shared" si="6"/>
        <v>15</v>
      </c>
      <c r="AT34" s="90"/>
      <c r="AU34" s="90"/>
      <c r="AV34" s="90"/>
      <c r="AW34" s="90"/>
      <c r="AX34" s="90"/>
      <c r="AY34" s="90"/>
      <c r="AZ34" s="90"/>
      <c r="BA34" s="121">
        <f t="shared" si="7"/>
        <v>0</v>
      </c>
      <c r="BB34" s="90">
        <v>1</v>
      </c>
      <c r="BC34" s="90"/>
      <c r="BD34" s="90">
        <v>1</v>
      </c>
      <c r="BE34" s="90"/>
      <c r="BF34" s="90"/>
      <c r="BG34" s="90"/>
      <c r="BH34" s="90"/>
      <c r="BI34" s="90"/>
      <c r="BJ34" s="90"/>
      <c r="BK34" s="90">
        <v>1</v>
      </c>
      <c r="BL34" s="122">
        <f t="shared" si="8"/>
        <v>3</v>
      </c>
      <c r="BM34" s="123">
        <f t="shared" si="9"/>
        <v>43</v>
      </c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121">
        <f t="shared" si="10"/>
        <v>0</v>
      </c>
      <c r="CA34" s="90"/>
      <c r="CB34" s="90"/>
      <c r="CC34" s="122">
        <f t="shared" si="11"/>
        <v>0</v>
      </c>
      <c r="CD34" s="123">
        <f t="shared" si="12"/>
        <v>15</v>
      </c>
      <c r="CE34" s="125">
        <f aca="true" t="shared" si="17" ref="CE34:CE46">SUM(CD34,BM34,AS34,AN34,V34)</f>
        <v>104</v>
      </c>
      <c r="CF34" s="126" t="str">
        <f t="shared" si="14"/>
        <v>4с</v>
      </c>
      <c r="CG34" s="127" t="str">
        <f t="shared" si="15"/>
        <v>пішохідний </v>
      </c>
      <c r="CH34" s="120" t="str">
        <f t="shared" si="16"/>
        <v>ІІ к.с.</v>
      </c>
      <c r="CI34" s="90"/>
      <c r="CJ34" s="90"/>
      <c r="CK34" s="90"/>
      <c r="CL34" s="90"/>
      <c r="CO34" s="129"/>
    </row>
    <row r="35" spans="1:93" s="128" customFormat="1" ht="16.5" customHeight="1">
      <c r="A35" s="90" t="s">
        <v>190</v>
      </c>
      <c r="B35" s="118" t="str">
        <f>VLOOKUP(A35,реєстрація!A:AB,5,FALSE)</f>
        <v>пішохідний </v>
      </c>
      <c r="C35" s="119" t="str">
        <f>VLOOKUP(A35,реєстрація!A:AK,6,FALSE)</f>
        <v>ІІ к.с.</v>
      </c>
      <c r="D35" s="127" t="s">
        <v>227</v>
      </c>
      <c r="E35" s="133">
        <v>1</v>
      </c>
      <c r="F35" s="90"/>
      <c r="G35" s="90"/>
      <c r="H35" s="90"/>
      <c r="I35" s="90"/>
      <c r="J35" s="90"/>
      <c r="K35" s="90"/>
      <c r="L35" s="90"/>
      <c r="M35" s="121">
        <f t="shared" si="0"/>
        <v>0</v>
      </c>
      <c r="N35" s="90"/>
      <c r="O35" s="90"/>
      <c r="P35" s="90"/>
      <c r="Q35" s="90"/>
      <c r="R35" s="90"/>
      <c r="S35" s="90"/>
      <c r="T35" s="90"/>
      <c r="U35" s="122">
        <f t="shared" si="1"/>
        <v>0</v>
      </c>
      <c r="V35" s="123">
        <f t="shared" si="2"/>
        <v>15</v>
      </c>
      <c r="W35" s="90"/>
      <c r="X35" s="90"/>
      <c r="Y35" s="90"/>
      <c r="Z35" s="90"/>
      <c r="AA35" s="90"/>
      <c r="AB35" s="90"/>
      <c r="AC35" s="90"/>
      <c r="AD35" s="90"/>
      <c r="AE35" s="90">
        <v>2</v>
      </c>
      <c r="AF35" s="90"/>
      <c r="AG35" s="90"/>
      <c r="AH35" s="121">
        <f t="shared" si="3"/>
        <v>2</v>
      </c>
      <c r="AI35" s="90"/>
      <c r="AJ35" s="90"/>
      <c r="AK35" s="90"/>
      <c r="AL35" s="90"/>
      <c r="AM35" s="122">
        <f t="shared" si="4"/>
        <v>0</v>
      </c>
      <c r="AN35" s="123">
        <f t="shared" si="5"/>
        <v>13</v>
      </c>
      <c r="AO35" s="124"/>
      <c r="AP35" s="90"/>
      <c r="AQ35" s="90"/>
      <c r="AR35" s="90"/>
      <c r="AS35" s="123">
        <f t="shared" si="6"/>
        <v>15</v>
      </c>
      <c r="AT35" s="90">
        <v>2</v>
      </c>
      <c r="AU35" s="90">
        <v>3</v>
      </c>
      <c r="AV35" s="90"/>
      <c r="AW35" s="90"/>
      <c r="AX35" s="90"/>
      <c r="AY35" s="90">
        <v>2</v>
      </c>
      <c r="AZ35" s="90"/>
      <c r="BA35" s="121">
        <f t="shared" si="7"/>
        <v>7</v>
      </c>
      <c r="BB35" s="90"/>
      <c r="BC35" s="90"/>
      <c r="BD35" s="90">
        <v>3</v>
      </c>
      <c r="BE35" s="90"/>
      <c r="BF35" s="90">
        <v>1</v>
      </c>
      <c r="BG35" s="90"/>
      <c r="BH35" s="90">
        <v>1</v>
      </c>
      <c r="BI35" s="90"/>
      <c r="BJ35" s="90"/>
      <c r="BK35" s="90"/>
      <c r="BL35" s="122">
        <f t="shared" si="8"/>
        <v>5</v>
      </c>
      <c r="BM35" s="123">
        <f t="shared" si="9"/>
        <v>38</v>
      </c>
      <c r="BN35" s="90"/>
      <c r="BO35" s="90"/>
      <c r="BP35" s="90">
        <v>2</v>
      </c>
      <c r="BQ35" s="90"/>
      <c r="BR35" s="90"/>
      <c r="BS35" s="90">
        <v>2</v>
      </c>
      <c r="BT35" s="90"/>
      <c r="BU35" s="90"/>
      <c r="BV35" s="90"/>
      <c r="BW35" s="90"/>
      <c r="BX35" s="90">
        <v>2</v>
      </c>
      <c r="BY35" s="90">
        <v>1</v>
      </c>
      <c r="BZ35" s="121">
        <f t="shared" si="10"/>
        <v>7</v>
      </c>
      <c r="CA35" s="90"/>
      <c r="CB35" s="90"/>
      <c r="CC35" s="122">
        <f t="shared" si="11"/>
        <v>0</v>
      </c>
      <c r="CD35" s="123">
        <f t="shared" si="12"/>
        <v>8</v>
      </c>
      <c r="CE35" s="125">
        <f t="shared" si="17"/>
        <v>89</v>
      </c>
      <c r="CF35" s="126" t="str">
        <f t="shared" si="14"/>
        <v>13с</v>
      </c>
      <c r="CG35" s="127" t="str">
        <f t="shared" si="15"/>
        <v>пішохідний </v>
      </c>
      <c r="CH35" s="120" t="str">
        <f t="shared" si="16"/>
        <v>ІІ к.с.</v>
      </c>
      <c r="CI35" s="90">
        <f>CE35</f>
        <v>89</v>
      </c>
      <c r="CJ35" s="90">
        <f>CE36</f>
        <v>99</v>
      </c>
      <c r="CK35" s="90">
        <f>CE37</f>
        <v>98</v>
      </c>
      <c r="CL35" s="90"/>
      <c r="CO35" s="129"/>
    </row>
    <row r="36" spans="1:93" s="128" customFormat="1" ht="16.5" customHeight="1">
      <c r="A36" s="90" t="s">
        <v>190</v>
      </c>
      <c r="B36" s="118" t="str">
        <f>VLOOKUP(A36,реєстрація!A:AB,5,FALSE)</f>
        <v>пішохідний </v>
      </c>
      <c r="C36" s="119" t="str">
        <f>VLOOKUP(A36,реєстрація!A:AK,6,FALSE)</f>
        <v>ІІ к.с.</v>
      </c>
      <c r="D36" s="127" t="s">
        <v>236</v>
      </c>
      <c r="E36" s="133">
        <v>2</v>
      </c>
      <c r="F36" s="90">
        <v>1</v>
      </c>
      <c r="G36" s="90"/>
      <c r="H36" s="90"/>
      <c r="I36" s="90"/>
      <c r="J36" s="90"/>
      <c r="K36" s="90"/>
      <c r="L36" s="90"/>
      <c r="M36" s="121">
        <f t="shared" si="0"/>
        <v>1</v>
      </c>
      <c r="N36" s="90"/>
      <c r="O36" s="90"/>
      <c r="P36" s="90"/>
      <c r="Q36" s="90"/>
      <c r="R36" s="90"/>
      <c r="S36" s="90"/>
      <c r="T36" s="90"/>
      <c r="U36" s="122">
        <f t="shared" si="1"/>
        <v>0</v>
      </c>
      <c r="V36" s="123">
        <f t="shared" si="2"/>
        <v>14</v>
      </c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121">
        <f t="shared" si="3"/>
        <v>0</v>
      </c>
      <c r="AI36" s="90"/>
      <c r="AJ36" s="90"/>
      <c r="AK36" s="90"/>
      <c r="AL36" s="90"/>
      <c r="AM36" s="122">
        <f t="shared" si="4"/>
        <v>0</v>
      </c>
      <c r="AN36" s="123">
        <f t="shared" si="5"/>
        <v>15</v>
      </c>
      <c r="AO36" s="124"/>
      <c r="AP36" s="90"/>
      <c r="AQ36" s="90"/>
      <c r="AR36" s="90"/>
      <c r="AS36" s="123">
        <f t="shared" si="6"/>
        <v>15</v>
      </c>
      <c r="AT36" s="90"/>
      <c r="AU36" s="90"/>
      <c r="AV36" s="90"/>
      <c r="AW36" s="90"/>
      <c r="AX36" s="90"/>
      <c r="AY36" s="90"/>
      <c r="AZ36" s="90"/>
      <c r="BA36" s="121">
        <f t="shared" si="7"/>
        <v>0</v>
      </c>
      <c r="BB36" s="90"/>
      <c r="BC36" s="90"/>
      <c r="BD36" s="90">
        <v>1</v>
      </c>
      <c r="BE36" s="90"/>
      <c r="BF36" s="90"/>
      <c r="BG36" s="90"/>
      <c r="BH36" s="90"/>
      <c r="BI36" s="90"/>
      <c r="BJ36" s="90"/>
      <c r="BK36" s="90"/>
      <c r="BL36" s="122">
        <f t="shared" si="8"/>
        <v>1</v>
      </c>
      <c r="BM36" s="123">
        <f t="shared" si="9"/>
        <v>41</v>
      </c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>
        <v>1</v>
      </c>
      <c r="BY36" s="90"/>
      <c r="BZ36" s="121">
        <f t="shared" si="10"/>
        <v>1</v>
      </c>
      <c r="CA36" s="90"/>
      <c r="CB36" s="90"/>
      <c r="CC36" s="122">
        <f t="shared" si="11"/>
        <v>0</v>
      </c>
      <c r="CD36" s="123">
        <f t="shared" si="12"/>
        <v>14</v>
      </c>
      <c r="CE36" s="125">
        <f t="shared" si="17"/>
        <v>99</v>
      </c>
      <c r="CF36" s="126" t="str">
        <f t="shared" si="14"/>
        <v>13с</v>
      </c>
      <c r="CG36" s="127" t="str">
        <f t="shared" si="15"/>
        <v>пішохідний </v>
      </c>
      <c r="CH36" s="120" t="str">
        <f t="shared" si="16"/>
        <v>ІІ к.с.</v>
      </c>
      <c r="CI36" s="90"/>
      <c r="CJ36" s="90"/>
      <c r="CK36" s="90"/>
      <c r="CL36" s="90"/>
      <c r="CO36" s="129"/>
    </row>
    <row r="37" spans="1:93" s="128" customFormat="1" ht="16.5" customHeight="1">
      <c r="A37" s="90" t="s">
        <v>190</v>
      </c>
      <c r="B37" s="118" t="str">
        <f>VLOOKUP(A37,реєстрація!A:AB,5,FALSE)</f>
        <v>пішохідний </v>
      </c>
      <c r="C37" s="119" t="str">
        <f>VLOOKUP(A37,реєстрація!A:AK,6,FALSE)</f>
        <v>ІІ к.с.</v>
      </c>
      <c r="D37" s="127" t="s">
        <v>237</v>
      </c>
      <c r="E37" s="133">
        <v>3</v>
      </c>
      <c r="F37" s="90"/>
      <c r="G37" s="90"/>
      <c r="H37" s="90">
        <v>2</v>
      </c>
      <c r="I37" s="90"/>
      <c r="J37" s="90"/>
      <c r="K37" s="90"/>
      <c r="L37" s="90"/>
      <c r="M37" s="121">
        <f t="shared" si="0"/>
        <v>2</v>
      </c>
      <c r="N37" s="90"/>
      <c r="O37" s="90"/>
      <c r="P37" s="90"/>
      <c r="Q37" s="90"/>
      <c r="R37" s="90"/>
      <c r="S37" s="90"/>
      <c r="T37" s="90"/>
      <c r="U37" s="122">
        <f t="shared" si="1"/>
        <v>0</v>
      </c>
      <c r="V37" s="123">
        <f t="shared" si="2"/>
        <v>13</v>
      </c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121">
        <f t="shared" si="3"/>
        <v>0</v>
      </c>
      <c r="AI37" s="90"/>
      <c r="AJ37" s="90"/>
      <c r="AK37" s="90">
        <v>1</v>
      </c>
      <c r="AL37" s="90"/>
      <c r="AM37" s="122">
        <f t="shared" si="4"/>
        <v>1</v>
      </c>
      <c r="AN37" s="123">
        <f t="shared" si="5"/>
        <v>16</v>
      </c>
      <c r="AO37" s="124"/>
      <c r="AP37" s="90"/>
      <c r="AQ37" s="90"/>
      <c r="AR37" s="90"/>
      <c r="AS37" s="123">
        <f t="shared" si="6"/>
        <v>15</v>
      </c>
      <c r="AT37" s="90">
        <v>1</v>
      </c>
      <c r="AU37" s="90">
        <v>1</v>
      </c>
      <c r="AV37" s="90"/>
      <c r="AW37" s="90"/>
      <c r="AX37" s="90"/>
      <c r="AY37" s="90"/>
      <c r="AZ37" s="90"/>
      <c r="BA37" s="121">
        <f t="shared" si="7"/>
        <v>2</v>
      </c>
      <c r="BB37" s="90">
        <v>1</v>
      </c>
      <c r="BC37" s="90"/>
      <c r="BD37" s="90">
        <v>1</v>
      </c>
      <c r="BE37" s="90"/>
      <c r="BF37" s="90"/>
      <c r="BG37" s="90"/>
      <c r="BH37" s="90"/>
      <c r="BI37" s="90"/>
      <c r="BJ37" s="90"/>
      <c r="BK37" s="90"/>
      <c r="BL37" s="122">
        <f t="shared" si="8"/>
        <v>2</v>
      </c>
      <c r="BM37" s="123">
        <f t="shared" si="9"/>
        <v>40</v>
      </c>
      <c r="BN37" s="90"/>
      <c r="BO37" s="90"/>
      <c r="BP37" s="90"/>
      <c r="BQ37" s="90">
        <v>1</v>
      </c>
      <c r="BR37" s="90"/>
      <c r="BS37" s="90"/>
      <c r="BT37" s="90"/>
      <c r="BU37" s="90"/>
      <c r="BV37" s="90"/>
      <c r="BW37" s="90"/>
      <c r="BX37" s="90"/>
      <c r="BY37" s="90"/>
      <c r="BZ37" s="121">
        <f t="shared" si="10"/>
        <v>1</v>
      </c>
      <c r="CA37" s="90"/>
      <c r="CB37" s="90"/>
      <c r="CC37" s="122">
        <f t="shared" si="11"/>
        <v>0</v>
      </c>
      <c r="CD37" s="123">
        <f t="shared" si="12"/>
        <v>14</v>
      </c>
      <c r="CE37" s="125">
        <f t="shared" si="17"/>
        <v>98</v>
      </c>
      <c r="CF37" s="126" t="str">
        <f t="shared" si="14"/>
        <v>13с</v>
      </c>
      <c r="CG37" s="127" t="str">
        <f t="shared" si="15"/>
        <v>пішохідний </v>
      </c>
      <c r="CH37" s="120" t="str">
        <f t="shared" si="16"/>
        <v>ІІ к.с.</v>
      </c>
      <c r="CI37" s="90"/>
      <c r="CJ37" s="90"/>
      <c r="CK37" s="90"/>
      <c r="CL37" s="90"/>
      <c r="CO37" s="129"/>
    </row>
    <row r="38" spans="1:93" s="128" customFormat="1" ht="16.5" customHeight="1">
      <c r="A38" s="90" t="s">
        <v>184</v>
      </c>
      <c r="B38" s="118" t="str">
        <f>VLOOKUP(A38,реєстрація!A:AB,5,FALSE)</f>
        <v>пішохідний </v>
      </c>
      <c r="C38" s="119" t="str">
        <f>VLOOKUP(A38,реєстрація!A:AK,6,FALSE)</f>
        <v>ІІІ к.с.</v>
      </c>
      <c r="D38" s="127" t="s">
        <v>227</v>
      </c>
      <c r="E38" s="120">
        <v>1</v>
      </c>
      <c r="F38" s="90"/>
      <c r="G38" s="90"/>
      <c r="H38" s="90"/>
      <c r="I38" s="90"/>
      <c r="J38" s="90">
        <v>1</v>
      </c>
      <c r="K38" s="90"/>
      <c r="L38" s="90"/>
      <c r="M38" s="121">
        <f t="shared" si="0"/>
        <v>1</v>
      </c>
      <c r="N38" s="90">
        <v>2</v>
      </c>
      <c r="O38" s="90"/>
      <c r="P38" s="90"/>
      <c r="Q38" s="90"/>
      <c r="R38" s="90"/>
      <c r="S38" s="90"/>
      <c r="T38" s="90"/>
      <c r="U38" s="122">
        <f t="shared" si="1"/>
        <v>2</v>
      </c>
      <c r="V38" s="123">
        <f t="shared" si="2"/>
        <v>16</v>
      </c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121">
        <f t="shared" si="3"/>
        <v>0</v>
      </c>
      <c r="AI38" s="90"/>
      <c r="AJ38" s="90"/>
      <c r="AK38" s="90"/>
      <c r="AL38" s="90">
        <v>3</v>
      </c>
      <c r="AM38" s="122">
        <f t="shared" si="4"/>
        <v>3</v>
      </c>
      <c r="AN38" s="123">
        <f t="shared" si="5"/>
        <v>18</v>
      </c>
      <c r="AO38" s="124"/>
      <c r="AP38" s="90"/>
      <c r="AQ38" s="90"/>
      <c r="AR38" s="90"/>
      <c r="AS38" s="123">
        <f t="shared" si="6"/>
        <v>15</v>
      </c>
      <c r="AT38" s="90"/>
      <c r="AU38" s="90"/>
      <c r="AV38" s="90"/>
      <c r="AW38" s="90"/>
      <c r="AX38" s="90"/>
      <c r="AY38" s="90"/>
      <c r="AZ38" s="90"/>
      <c r="BA38" s="121">
        <f t="shared" si="7"/>
        <v>0</v>
      </c>
      <c r="BB38" s="90"/>
      <c r="BC38" s="90"/>
      <c r="BD38" s="90">
        <v>3</v>
      </c>
      <c r="BE38" s="90"/>
      <c r="BF38" s="90">
        <v>2</v>
      </c>
      <c r="BG38" s="90"/>
      <c r="BH38" s="90">
        <v>4</v>
      </c>
      <c r="BI38" s="90">
        <v>2</v>
      </c>
      <c r="BJ38" s="90"/>
      <c r="BK38" s="90">
        <v>3</v>
      </c>
      <c r="BL38" s="122">
        <f t="shared" si="8"/>
        <v>14</v>
      </c>
      <c r="BM38" s="123">
        <f t="shared" si="9"/>
        <v>54</v>
      </c>
      <c r="BN38" s="90"/>
      <c r="BO38" s="90"/>
      <c r="BP38" s="90"/>
      <c r="BQ38" s="90"/>
      <c r="BR38" s="90"/>
      <c r="BS38" s="90"/>
      <c r="BT38" s="90"/>
      <c r="BU38" s="90"/>
      <c r="BV38" s="90"/>
      <c r="BW38" s="90">
        <v>1</v>
      </c>
      <c r="BX38" s="90"/>
      <c r="BY38" s="90"/>
      <c r="BZ38" s="121">
        <f t="shared" si="10"/>
        <v>1</v>
      </c>
      <c r="CA38" s="90"/>
      <c r="CB38" s="90"/>
      <c r="CC38" s="122">
        <f t="shared" si="11"/>
        <v>0</v>
      </c>
      <c r="CD38" s="123">
        <f t="shared" si="12"/>
        <v>14</v>
      </c>
      <c r="CE38" s="125">
        <f t="shared" si="17"/>
        <v>117</v>
      </c>
      <c r="CF38" s="126" t="str">
        <f t="shared" si="14"/>
        <v>7с</v>
      </c>
      <c r="CG38" s="127" t="str">
        <f t="shared" si="15"/>
        <v>пішохідний </v>
      </c>
      <c r="CH38" s="120" t="str">
        <f t="shared" si="16"/>
        <v>ІІІ к.с.</v>
      </c>
      <c r="CI38" s="90">
        <f>CE38</f>
        <v>117</v>
      </c>
      <c r="CJ38" s="90">
        <f>CE39</f>
        <v>113</v>
      </c>
      <c r="CK38" s="90">
        <f>CE40</f>
        <v>107</v>
      </c>
      <c r="CL38" s="90"/>
      <c r="CO38" s="129"/>
    </row>
    <row r="39" spans="1:93" s="128" customFormat="1" ht="16.5" customHeight="1">
      <c r="A39" s="90" t="s">
        <v>184</v>
      </c>
      <c r="B39" s="118" t="str">
        <f>VLOOKUP(A39,реєстрація!A:AB,5,FALSE)</f>
        <v>пішохідний </v>
      </c>
      <c r="C39" s="119" t="str">
        <f>VLOOKUP(A39,реєстрація!A:AK,6,FALSE)</f>
        <v>ІІІ к.с.</v>
      </c>
      <c r="D39" s="127" t="s">
        <v>236</v>
      </c>
      <c r="E39" s="133">
        <v>2</v>
      </c>
      <c r="F39" s="90"/>
      <c r="G39" s="90"/>
      <c r="H39" s="90"/>
      <c r="I39" s="90"/>
      <c r="J39" s="90"/>
      <c r="K39" s="90"/>
      <c r="L39" s="90"/>
      <c r="M39" s="121">
        <f t="shared" si="0"/>
        <v>0</v>
      </c>
      <c r="N39" s="90"/>
      <c r="O39" s="90">
        <v>1</v>
      </c>
      <c r="P39" s="90">
        <v>1</v>
      </c>
      <c r="Q39" s="90">
        <v>1</v>
      </c>
      <c r="R39" s="90"/>
      <c r="S39" s="90"/>
      <c r="T39" s="90"/>
      <c r="U39" s="122">
        <f t="shared" si="1"/>
        <v>3</v>
      </c>
      <c r="V39" s="123">
        <f t="shared" si="2"/>
        <v>18</v>
      </c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121">
        <f t="shared" si="3"/>
        <v>0</v>
      </c>
      <c r="AI39" s="90"/>
      <c r="AJ39" s="90"/>
      <c r="AK39" s="90"/>
      <c r="AL39" s="90">
        <v>2</v>
      </c>
      <c r="AM39" s="122">
        <f t="shared" si="4"/>
        <v>2</v>
      </c>
      <c r="AN39" s="123">
        <f t="shared" si="5"/>
        <v>17</v>
      </c>
      <c r="AO39" s="124"/>
      <c r="AP39" s="90">
        <v>1</v>
      </c>
      <c r="AQ39" s="90"/>
      <c r="AR39" s="90"/>
      <c r="AS39" s="123">
        <f t="shared" si="6"/>
        <v>16</v>
      </c>
      <c r="AT39" s="90"/>
      <c r="AU39" s="90"/>
      <c r="AV39" s="90"/>
      <c r="AW39" s="90"/>
      <c r="AX39" s="90"/>
      <c r="AY39" s="90"/>
      <c r="AZ39" s="90"/>
      <c r="BA39" s="121">
        <f t="shared" si="7"/>
        <v>0</v>
      </c>
      <c r="BB39" s="90"/>
      <c r="BC39" s="90"/>
      <c r="BD39" s="90">
        <v>2</v>
      </c>
      <c r="BE39" s="90"/>
      <c r="BF39" s="90"/>
      <c r="BG39" s="90"/>
      <c r="BH39" s="90">
        <v>2</v>
      </c>
      <c r="BI39" s="90"/>
      <c r="BJ39" s="90"/>
      <c r="BK39" s="90"/>
      <c r="BL39" s="122">
        <f t="shared" si="8"/>
        <v>4</v>
      </c>
      <c r="BM39" s="123">
        <f t="shared" si="9"/>
        <v>44</v>
      </c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121">
        <f t="shared" si="10"/>
        <v>0</v>
      </c>
      <c r="CA39" s="90">
        <v>3</v>
      </c>
      <c r="CB39" s="90"/>
      <c r="CC39" s="122">
        <f t="shared" si="11"/>
        <v>3</v>
      </c>
      <c r="CD39" s="123">
        <f t="shared" si="12"/>
        <v>18</v>
      </c>
      <c r="CE39" s="125">
        <f t="shared" si="17"/>
        <v>113</v>
      </c>
      <c r="CF39" s="126" t="str">
        <f t="shared" si="14"/>
        <v>7с</v>
      </c>
      <c r="CG39" s="127" t="str">
        <f t="shared" si="15"/>
        <v>пішохідний </v>
      </c>
      <c r="CH39" s="120" t="str">
        <f t="shared" si="16"/>
        <v>ІІІ к.с.</v>
      </c>
      <c r="CI39" s="90"/>
      <c r="CJ39" s="90"/>
      <c r="CK39" s="90"/>
      <c r="CL39" s="90"/>
      <c r="CM39" s="145"/>
      <c r="CN39" s="145"/>
      <c r="CO39" s="129"/>
    </row>
    <row r="40" spans="1:93" s="128" customFormat="1" ht="16.5" customHeight="1">
      <c r="A40" s="90" t="s">
        <v>184</v>
      </c>
      <c r="B40" s="118" t="str">
        <f>VLOOKUP(A40,реєстрація!A:AB,5,FALSE)</f>
        <v>пішохідний </v>
      </c>
      <c r="C40" s="119" t="str">
        <f>VLOOKUP(A40,реєстрація!A:AK,6,FALSE)</f>
        <v>ІІІ к.с.</v>
      </c>
      <c r="D40" s="127" t="s">
        <v>237</v>
      </c>
      <c r="E40" s="133">
        <v>3</v>
      </c>
      <c r="F40" s="90"/>
      <c r="G40" s="90"/>
      <c r="H40" s="90"/>
      <c r="I40" s="90"/>
      <c r="J40" s="90"/>
      <c r="K40" s="90"/>
      <c r="L40" s="90"/>
      <c r="M40" s="121">
        <f t="shared" si="0"/>
        <v>0</v>
      </c>
      <c r="N40" s="90">
        <v>1</v>
      </c>
      <c r="O40" s="90">
        <v>1</v>
      </c>
      <c r="P40" s="90"/>
      <c r="Q40" s="90"/>
      <c r="R40" s="90"/>
      <c r="S40" s="90"/>
      <c r="T40" s="90"/>
      <c r="U40" s="122">
        <f t="shared" si="1"/>
        <v>2</v>
      </c>
      <c r="V40" s="123">
        <f t="shared" si="2"/>
        <v>17</v>
      </c>
      <c r="W40" s="90"/>
      <c r="X40" s="90"/>
      <c r="Y40" s="90"/>
      <c r="Z40" s="90"/>
      <c r="AA40" s="90"/>
      <c r="AB40" s="90"/>
      <c r="AC40" s="90"/>
      <c r="AD40" s="90"/>
      <c r="AE40" s="90">
        <v>2</v>
      </c>
      <c r="AF40" s="90"/>
      <c r="AG40" s="90"/>
      <c r="AH40" s="121">
        <f t="shared" si="3"/>
        <v>2</v>
      </c>
      <c r="AI40" s="90"/>
      <c r="AJ40" s="90"/>
      <c r="AK40" s="90">
        <v>1</v>
      </c>
      <c r="AL40" s="90">
        <v>1</v>
      </c>
      <c r="AM40" s="122">
        <f t="shared" si="4"/>
        <v>2</v>
      </c>
      <c r="AN40" s="123">
        <f t="shared" si="5"/>
        <v>15</v>
      </c>
      <c r="AO40" s="124"/>
      <c r="AP40" s="90"/>
      <c r="AQ40" s="90"/>
      <c r="AR40" s="90"/>
      <c r="AS40" s="123">
        <f t="shared" si="6"/>
        <v>15</v>
      </c>
      <c r="AT40" s="90"/>
      <c r="AU40" s="90"/>
      <c r="AV40" s="90"/>
      <c r="AW40" s="90"/>
      <c r="AX40" s="90"/>
      <c r="AY40" s="90"/>
      <c r="AZ40" s="90"/>
      <c r="BA40" s="121">
        <f t="shared" si="7"/>
        <v>0</v>
      </c>
      <c r="BB40" s="90">
        <v>1</v>
      </c>
      <c r="BC40" s="90">
        <v>1</v>
      </c>
      <c r="BD40" s="90">
        <v>1</v>
      </c>
      <c r="BE40" s="90"/>
      <c r="BF40" s="90"/>
      <c r="BG40" s="90"/>
      <c r="BH40" s="90"/>
      <c r="BI40" s="90">
        <v>1</v>
      </c>
      <c r="BJ40" s="90"/>
      <c r="BK40" s="90"/>
      <c r="BL40" s="122">
        <f t="shared" si="8"/>
        <v>4</v>
      </c>
      <c r="BM40" s="123">
        <f t="shared" si="9"/>
        <v>44</v>
      </c>
      <c r="BN40" s="90"/>
      <c r="BO40" s="90"/>
      <c r="BP40" s="90"/>
      <c r="BQ40" s="90"/>
      <c r="BR40" s="90"/>
      <c r="BS40" s="90"/>
      <c r="BT40" s="90">
        <v>1</v>
      </c>
      <c r="BU40" s="90"/>
      <c r="BV40" s="90"/>
      <c r="BW40" s="90"/>
      <c r="BX40" s="90"/>
      <c r="BY40" s="90"/>
      <c r="BZ40" s="121">
        <f t="shared" si="10"/>
        <v>1</v>
      </c>
      <c r="CA40" s="90">
        <v>2</v>
      </c>
      <c r="CB40" s="90"/>
      <c r="CC40" s="122">
        <f t="shared" si="11"/>
        <v>2</v>
      </c>
      <c r="CD40" s="123">
        <f t="shared" si="12"/>
        <v>16</v>
      </c>
      <c r="CE40" s="125">
        <f t="shared" si="17"/>
        <v>107</v>
      </c>
      <c r="CF40" s="126" t="str">
        <f t="shared" si="14"/>
        <v>7с</v>
      </c>
      <c r="CG40" s="127" t="str">
        <f t="shared" si="15"/>
        <v>пішохідний </v>
      </c>
      <c r="CH40" s="120" t="str">
        <f t="shared" si="16"/>
        <v>ІІІ к.с.</v>
      </c>
      <c r="CI40" s="90"/>
      <c r="CJ40" s="90"/>
      <c r="CK40" s="90"/>
      <c r="CL40" s="90"/>
      <c r="CO40" s="129"/>
    </row>
    <row r="41" spans="1:93" s="128" customFormat="1" ht="16.5" customHeight="1">
      <c r="A41" s="90" t="s">
        <v>192</v>
      </c>
      <c r="B41" s="118" t="str">
        <f>VLOOKUP(A41,реєстрація!A:AB,5,FALSE)</f>
        <v>пішохідний </v>
      </c>
      <c r="C41" s="119" t="str">
        <f>VLOOKUP(A41,реєстрація!A:AK,6,FALSE)</f>
        <v>ІІІ к.с. </v>
      </c>
      <c r="D41" s="127" t="s">
        <v>227</v>
      </c>
      <c r="E41" s="133">
        <v>1</v>
      </c>
      <c r="F41" s="90"/>
      <c r="G41" s="90"/>
      <c r="H41" s="90"/>
      <c r="I41" s="90"/>
      <c r="J41" s="90"/>
      <c r="K41" s="90"/>
      <c r="L41" s="90"/>
      <c r="M41" s="121">
        <f t="shared" si="0"/>
        <v>0</v>
      </c>
      <c r="N41" s="90"/>
      <c r="O41" s="90"/>
      <c r="P41" s="90"/>
      <c r="Q41" s="90"/>
      <c r="R41" s="90"/>
      <c r="S41" s="90"/>
      <c r="T41" s="90"/>
      <c r="U41" s="122">
        <f t="shared" si="1"/>
        <v>0</v>
      </c>
      <c r="V41" s="123">
        <f t="shared" si="2"/>
        <v>15</v>
      </c>
      <c r="W41" s="90"/>
      <c r="X41" s="90">
        <v>2</v>
      </c>
      <c r="Y41" s="90"/>
      <c r="Z41" s="90"/>
      <c r="AA41" s="90"/>
      <c r="AB41" s="90"/>
      <c r="AC41" s="90"/>
      <c r="AD41" s="90">
        <v>2</v>
      </c>
      <c r="AE41" s="90"/>
      <c r="AF41" s="90"/>
      <c r="AG41" s="90"/>
      <c r="AH41" s="121">
        <f t="shared" si="3"/>
        <v>4</v>
      </c>
      <c r="AI41" s="90">
        <v>2</v>
      </c>
      <c r="AJ41" s="90"/>
      <c r="AK41" s="90"/>
      <c r="AL41" s="90"/>
      <c r="AM41" s="122">
        <f t="shared" si="4"/>
        <v>2</v>
      </c>
      <c r="AN41" s="123">
        <f t="shared" si="5"/>
        <v>13</v>
      </c>
      <c r="AO41" s="124"/>
      <c r="AP41" s="90"/>
      <c r="AQ41" s="90"/>
      <c r="AR41" s="90"/>
      <c r="AS41" s="123">
        <f t="shared" si="6"/>
        <v>15</v>
      </c>
      <c r="AT41" s="90">
        <v>2</v>
      </c>
      <c r="AU41" s="90">
        <v>2</v>
      </c>
      <c r="AV41" s="90"/>
      <c r="AW41" s="90"/>
      <c r="AX41" s="90"/>
      <c r="AY41" s="90"/>
      <c r="AZ41" s="90"/>
      <c r="BA41" s="121">
        <f t="shared" si="7"/>
        <v>4</v>
      </c>
      <c r="BB41" s="90"/>
      <c r="BC41" s="90"/>
      <c r="BD41" s="90">
        <v>1</v>
      </c>
      <c r="BE41" s="90"/>
      <c r="BF41" s="90">
        <v>1</v>
      </c>
      <c r="BG41" s="90"/>
      <c r="BH41" s="90"/>
      <c r="BI41" s="90"/>
      <c r="BJ41" s="90"/>
      <c r="BK41" s="90"/>
      <c r="BL41" s="122">
        <f t="shared" si="8"/>
        <v>2</v>
      </c>
      <c r="BM41" s="123">
        <f t="shared" si="9"/>
        <v>38</v>
      </c>
      <c r="BN41" s="90"/>
      <c r="BO41" s="90"/>
      <c r="BP41" s="90"/>
      <c r="BQ41" s="90">
        <v>2</v>
      </c>
      <c r="BR41" s="90">
        <v>2</v>
      </c>
      <c r="BS41" s="90">
        <v>1</v>
      </c>
      <c r="BT41" s="90"/>
      <c r="BU41" s="90"/>
      <c r="BV41" s="90"/>
      <c r="BW41" s="90"/>
      <c r="BX41" s="90"/>
      <c r="BY41" s="90"/>
      <c r="BZ41" s="121">
        <f t="shared" si="10"/>
        <v>5</v>
      </c>
      <c r="CA41" s="90"/>
      <c r="CB41" s="90"/>
      <c r="CC41" s="122">
        <f t="shared" si="11"/>
        <v>0</v>
      </c>
      <c r="CD41" s="123">
        <f t="shared" si="12"/>
        <v>10</v>
      </c>
      <c r="CE41" s="125">
        <f t="shared" si="17"/>
        <v>91</v>
      </c>
      <c r="CF41" s="126" t="str">
        <f t="shared" si="14"/>
        <v>15с</v>
      </c>
      <c r="CG41" s="127" t="str">
        <f t="shared" si="15"/>
        <v>пішохідний </v>
      </c>
      <c r="CH41" s="120" t="str">
        <f t="shared" si="16"/>
        <v>ІІІ к.с. </v>
      </c>
      <c r="CI41" s="90">
        <f>CE41</f>
        <v>91</v>
      </c>
      <c r="CJ41" s="90">
        <f>CE42</f>
        <v>104</v>
      </c>
      <c r="CK41" s="90">
        <f>CE43</f>
        <v>102</v>
      </c>
      <c r="CL41" s="90"/>
      <c r="CO41" s="129"/>
    </row>
    <row r="42" spans="1:93" s="128" customFormat="1" ht="16.5" customHeight="1">
      <c r="A42" s="90" t="s">
        <v>192</v>
      </c>
      <c r="B42" s="118" t="str">
        <f>VLOOKUP(A42,реєстрація!A:AB,5,FALSE)</f>
        <v>пішохідний </v>
      </c>
      <c r="C42" s="119" t="str">
        <f>VLOOKUP(A42,реєстрація!A:AK,6,FALSE)</f>
        <v>ІІІ к.с. </v>
      </c>
      <c r="D42" s="127" t="s">
        <v>236</v>
      </c>
      <c r="E42" s="133">
        <v>2</v>
      </c>
      <c r="F42" s="90"/>
      <c r="G42" s="90"/>
      <c r="H42" s="90"/>
      <c r="I42" s="90"/>
      <c r="J42" s="90"/>
      <c r="K42" s="90"/>
      <c r="L42" s="90"/>
      <c r="M42" s="121">
        <f t="shared" si="0"/>
        <v>0</v>
      </c>
      <c r="N42" s="90"/>
      <c r="O42" s="90"/>
      <c r="P42" s="90"/>
      <c r="Q42" s="90"/>
      <c r="R42" s="90"/>
      <c r="S42" s="90"/>
      <c r="T42" s="90"/>
      <c r="U42" s="122">
        <f t="shared" si="1"/>
        <v>0</v>
      </c>
      <c r="V42" s="123">
        <f t="shared" si="2"/>
        <v>15</v>
      </c>
      <c r="W42" s="90"/>
      <c r="X42" s="90">
        <v>1</v>
      </c>
      <c r="Y42" s="90"/>
      <c r="Z42" s="90"/>
      <c r="AA42" s="90"/>
      <c r="AB42" s="90"/>
      <c r="AC42" s="90"/>
      <c r="AD42" s="90"/>
      <c r="AE42" s="90"/>
      <c r="AF42" s="90"/>
      <c r="AG42" s="90"/>
      <c r="AH42" s="121">
        <f t="shared" si="3"/>
        <v>1</v>
      </c>
      <c r="AI42" s="90"/>
      <c r="AJ42" s="90"/>
      <c r="AK42" s="90"/>
      <c r="AL42" s="90"/>
      <c r="AM42" s="122">
        <f t="shared" si="4"/>
        <v>0</v>
      </c>
      <c r="AN42" s="123">
        <f t="shared" si="5"/>
        <v>14</v>
      </c>
      <c r="AO42" s="124"/>
      <c r="AP42" s="90">
        <v>1</v>
      </c>
      <c r="AQ42" s="90"/>
      <c r="AR42" s="90"/>
      <c r="AS42" s="123">
        <f t="shared" si="6"/>
        <v>16</v>
      </c>
      <c r="AT42" s="90"/>
      <c r="AU42" s="90"/>
      <c r="AV42" s="90"/>
      <c r="AW42" s="90"/>
      <c r="AX42" s="90"/>
      <c r="AY42" s="90"/>
      <c r="AZ42" s="90"/>
      <c r="BA42" s="121">
        <f t="shared" si="7"/>
        <v>0</v>
      </c>
      <c r="BB42" s="90"/>
      <c r="BC42" s="90"/>
      <c r="BD42" s="90"/>
      <c r="BE42" s="90">
        <v>2</v>
      </c>
      <c r="BF42" s="90"/>
      <c r="BG42" s="90"/>
      <c r="BH42" s="90"/>
      <c r="BI42" s="90">
        <v>2</v>
      </c>
      <c r="BJ42" s="90"/>
      <c r="BK42" s="90"/>
      <c r="BL42" s="122">
        <f t="shared" si="8"/>
        <v>4</v>
      </c>
      <c r="BM42" s="123">
        <f t="shared" si="9"/>
        <v>44</v>
      </c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121">
        <f t="shared" si="10"/>
        <v>0</v>
      </c>
      <c r="CA42" s="90"/>
      <c r="CB42" s="90"/>
      <c r="CC42" s="122">
        <f t="shared" si="11"/>
        <v>0</v>
      </c>
      <c r="CD42" s="123">
        <f t="shared" si="12"/>
        <v>15</v>
      </c>
      <c r="CE42" s="125">
        <f t="shared" si="17"/>
        <v>104</v>
      </c>
      <c r="CF42" s="126" t="str">
        <f t="shared" si="14"/>
        <v>15с</v>
      </c>
      <c r="CG42" s="127" t="str">
        <f t="shared" si="15"/>
        <v>пішохідний </v>
      </c>
      <c r="CH42" s="120" t="str">
        <f t="shared" si="16"/>
        <v>ІІІ к.с. </v>
      </c>
      <c r="CI42" s="90"/>
      <c r="CJ42" s="90"/>
      <c r="CK42" s="90"/>
      <c r="CL42" s="90"/>
      <c r="CO42" s="137"/>
    </row>
    <row r="43" spans="1:93" s="128" customFormat="1" ht="16.5" customHeight="1">
      <c r="A43" s="90" t="s">
        <v>192</v>
      </c>
      <c r="B43" s="118" t="str">
        <f>VLOOKUP(A43,реєстрація!A:AB,5,FALSE)</f>
        <v>пішохідний </v>
      </c>
      <c r="C43" s="119" t="str">
        <f>VLOOKUP(A43,реєстрація!A:AK,6,FALSE)</f>
        <v>ІІІ к.с. </v>
      </c>
      <c r="D43" s="127" t="s">
        <v>237</v>
      </c>
      <c r="E43" s="133">
        <v>3</v>
      </c>
      <c r="F43" s="90"/>
      <c r="G43" s="90"/>
      <c r="H43" s="90"/>
      <c r="I43" s="90"/>
      <c r="J43" s="90"/>
      <c r="K43" s="90"/>
      <c r="L43" s="90"/>
      <c r="M43" s="121">
        <f t="shared" si="0"/>
        <v>0</v>
      </c>
      <c r="N43" s="90">
        <v>1</v>
      </c>
      <c r="O43" s="90"/>
      <c r="P43" s="90"/>
      <c r="Q43" s="90"/>
      <c r="R43" s="90"/>
      <c r="S43" s="90"/>
      <c r="T43" s="90"/>
      <c r="U43" s="122">
        <f t="shared" si="1"/>
        <v>1</v>
      </c>
      <c r="V43" s="123">
        <f t="shared" si="2"/>
        <v>16</v>
      </c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121">
        <f t="shared" si="3"/>
        <v>0</v>
      </c>
      <c r="AI43" s="90"/>
      <c r="AJ43" s="90"/>
      <c r="AK43" s="90">
        <v>1</v>
      </c>
      <c r="AL43" s="90"/>
      <c r="AM43" s="122">
        <f t="shared" si="4"/>
        <v>1</v>
      </c>
      <c r="AN43" s="123">
        <f t="shared" si="5"/>
        <v>16</v>
      </c>
      <c r="AO43" s="124"/>
      <c r="AP43" s="90"/>
      <c r="AQ43" s="90"/>
      <c r="AR43" s="90"/>
      <c r="AS43" s="123">
        <f t="shared" si="6"/>
        <v>15</v>
      </c>
      <c r="AT43" s="90">
        <v>1</v>
      </c>
      <c r="AU43" s="90">
        <v>1</v>
      </c>
      <c r="AV43" s="90"/>
      <c r="AW43" s="90"/>
      <c r="AX43" s="90"/>
      <c r="AY43" s="90"/>
      <c r="AZ43" s="90"/>
      <c r="BA43" s="121">
        <f t="shared" si="7"/>
        <v>2</v>
      </c>
      <c r="BB43" s="90">
        <v>1</v>
      </c>
      <c r="BC43" s="90"/>
      <c r="BD43" s="90">
        <v>1</v>
      </c>
      <c r="BE43" s="90"/>
      <c r="BF43" s="90"/>
      <c r="BG43" s="90"/>
      <c r="BH43" s="90"/>
      <c r="BI43" s="90"/>
      <c r="BJ43" s="90"/>
      <c r="BK43" s="90"/>
      <c r="BL43" s="122">
        <f t="shared" si="8"/>
        <v>2</v>
      </c>
      <c r="BM43" s="123">
        <f t="shared" si="9"/>
        <v>40</v>
      </c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121">
        <f t="shared" si="10"/>
        <v>0</v>
      </c>
      <c r="CA43" s="90"/>
      <c r="CB43" s="90"/>
      <c r="CC43" s="122">
        <f t="shared" si="11"/>
        <v>0</v>
      </c>
      <c r="CD43" s="123">
        <f t="shared" si="12"/>
        <v>15</v>
      </c>
      <c r="CE43" s="125">
        <f t="shared" si="17"/>
        <v>102</v>
      </c>
      <c r="CF43" s="126" t="str">
        <f t="shared" si="14"/>
        <v>15с</v>
      </c>
      <c r="CG43" s="127" t="str">
        <f t="shared" si="15"/>
        <v>пішохідний </v>
      </c>
      <c r="CH43" s="120" t="str">
        <f t="shared" si="16"/>
        <v>ІІІ к.с. </v>
      </c>
      <c r="CI43" s="90"/>
      <c r="CJ43" s="90"/>
      <c r="CK43" s="90"/>
      <c r="CL43" s="90"/>
      <c r="CO43" s="129"/>
    </row>
    <row r="44" spans="1:93" s="128" customFormat="1" ht="16.5" customHeight="1">
      <c r="A44" s="90" t="s">
        <v>189</v>
      </c>
      <c r="B44" s="118" t="str">
        <f>VLOOKUP(A44,реєстрація!A:AB,5,FALSE)</f>
        <v>спелео</v>
      </c>
      <c r="C44" s="119" t="str">
        <f>VLOOKUP(A44,реєстрація!A:AK,6,FALSE)</f>
        <v>І к.с.</v>
      </c>
      <c r="D44" s="127" t="s">
        <v>196</v>
      </c>
      <c r="E44" s="120">
        <v>1</v>
      </c>
      <c r="F44" s="90">
        <v>2</v>
      </c>
      <c r="G44" s="90"/>
      <c r="H44" s="90"/>
      <c r="I44" s="90"/>
      <c r="J44" s="90"/>
      <c r="K44" s="90"/>
      <c r="L44" s="90"/>
      <c r="M44" s="121">
        <f t="shared" si="0"/>
        <v>2</v>
      </c>
      <c r="N44" s="90"/>
      <c r="O44" s="90"/>
      <c r="P44" s="90"/>
      <c r="Q44" s="90"/>
      <c r="R44" s="90"/>
      <c r="S44" s="90"/>
      <c r="T44" s="90"/>
      <c r="U44" s="122">
        <f t="shared" si="1"/>
        <v>0</v>
      </c>
      <c r="V44" s="123">
        <f t="shared" si="2"/>
        <v>13</v>
      </c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121">
        <f t="shared" si="3"/>
        <v>0</v>
      </c>
      <c r="AI44" s="90"/>
      <c r="AJ44" s="90"/>
      <c r="AK44" s="90"/>
      <c r="AL44" s="90">
        <v>1</v>
      </c>
      <c r="AM44" s="122">
        <f t="shared" si="4"/>
        <v>1</v>
      </c>
      <c r="AN44" s="123">
        <f t="shared" si="5"/>
        <v>16</v>
      </c>
      <c r="AO44" s="124"/>
      <c r="AP44" s="90"/>
      <c r="AQ44" s="90"/>
      <c r="AR44" s="90"/>
      <c r="AS44" s="123">
        <f t="shared" si="6"/>
        <v>15</v>
      </c>
      <c r="AT44" s="90">
        <v>5</v>
      </c>
      <c r="AU44" s="90"/>
      <c r="AV44" s="90"/>
      <c r="AW44" s="90"/>
      <c r="AX44" s="90">
        <v>1</v>
      </c>
      <c r="AY44" s="90"/>
      <c r="AZ44" s="90"/>
      <c r="BA44" s="121">
        <f t="shared" si="7"/>
        <v>6</v>
      </c>
      <c r="BB44" s="90"/>
      <c r="BC44" s="90"/>
      <c r="BD44" s="90"/>
      <c r="BE44" s="90"/>
      <c r="BF44" s="90"/>
      <c r="BG44" s="90"/>
      <c r="BH44" s="90"/>
      <c r="BI44" s="90"/>
      <c r="BJ44" s="90"/>
      <c r="BK44" s="90"/>
      <c r="BL44" s="122">
        <f t="shared" si="8"/>
        <v>0</v>
      </c>
      <c r="BM44" s="123">
        <f t="shared" si="9"/>
        <v>34</v>
      </c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121">
        <f t="shared" si="10"/>
        <v>0</v>
      </c>
      <c r="CA44" s="90"/>
      <c r="CB44" s="90"/>
      <c r="CC44" s="122">
        <f t="shared" si="11"/>
        <v>0</v>
      </c>
      <c r="CD44" s="123">
        <f t="shared" si="12"/>
        <v>15</v>
      </c>
      <c r="CE44" s="125">
        <f t="shared" si="17"/>
        <v>93</v>
      </c>
      <c r="CF44" s="126" t="str">
        <f t="shared" si="14"/>
        <v>12с</v>
      </c>
      <c r="CG44" s="127" t="str">
        <f t="shared" si="15"/>
        <v>спелео</v>
      </c>
      <c r="CH44" s="120" t="str">
        <f t="shared" si="16"/>
        <v>І к.с.</v>
      </c>
      <c r="CI44" s="90">
        <f>CE44</f>
        <v>93</v>
      </c>
      <c r="CJ44" s="90">
        <f>CE45</f>
        <v>92</v>
      </c>
      <c r="CK44" s="90">
        <f>CE46</f>
        <v>94</v>
      </c>
      <c r="CL44" s="90"/>
      <c r="CO44" s="129"/>
    </row>
    <row r="45" spans="1:93" s="128" customFormat="1" ht="16.5" customHeight="1">
      <c r="A45" s="90" t="s">
        <v>189</v>
      </c>
      <c r="B45" s="118" t="str">
        <f>VLOOKUP(A45,реєстрація!A:AB,5,FALSE)</f>
        <v>спелео</v>
      </c>
      <c r="C45" s="119" t="str">
        <f>VLOOKUP(A45,реєстрація!A:AK,6,FALSE)</f>
        <v>І к.с.</v>
      </c>
      <c r="D45" s="127" t="s">
        <v>197</v>
      </c>
      <c r="E45" s="120">
        <v>2</v>
      </c>
      <c r="F45" s="90">
        <v>1</v>
      </c>
      <c r="G45" s="90"/>
      <c r="H45" s="90"/>
      <c r="I45" s="90"/>
      <c r="J45" s="90"/>
      <c r="K45" s="90"/>
      <c r="L45" s="90"/>
      <c r="M45" s="121">
        <f t="shared" si="0"/>
        <v>1</v>
      </c>
      <c r="N45" s="90"/>
      <c r="O45" s="90"/>
      <c r="P45" s="90"/>
      <c r="Q45" s="90"/>
      <c r="R45" s="90"/>
      <c r="S45" s="90"/>
      <c r="T45" s="90"/>
      <c r="U45" s="122">
        <f t="shared" si="1"/>
        <v>0</v>
      </c>
      <c r="V45" s="123">
        <f t="shared" si="2"/>
        <v>14</v>
      </c>
      <c r="W45" s="90"/>
      <c r="X45" s="90">
        <v>3</v>
      </c>
      <c r="Y45" s="90">
        <v>1</v>
      </c>
      <c r="Z45" s="90"/>
      <c r="AA45" s="90"/>
      <c r="AB45" s="90"/>
      <c r="AC45" s="90"/>
      <c r="AD45" s="90"/>
      <c r="AE45" s="90"/>
      <c r="AF45" s="90"/>
      <c r="AG45" s="90"/>
      <c r="AH45" s="121">
        <f t="shared" si="3"/>
        <v>4</v>
      </c>
      <c r="AI45" s="90"/>
      <c r="AJ45" s="90"/>
      <c r="AK45" s="90"/>
      <c r="AL45" s="90">
        <v>1</v>
      </c>
      <c r="AM45" s="122">
        <f t="shared" si="4"/>
        <v>1</v>
      </c>
      <c r="AN45" s="123">
        <f t="shared" si="5"/>
        <v>12</v>
      </c>
      <c r="AO45" s="124"/>
      <c r="AP45" s="90"/>
      <c r="AQ45" s="90"/>
      <c r="AR45" s="90"/>
      <c r="AS45" s="123">
        <f t="shared" si="6"/>
        <v>15</v>
      </c>
      <c r="AT45" s="90">
        <v>4</v>
      </c>
      <c r="AU45" s="90"/>
      <c r="AV45" s="90"/>
      <c r="AW45" s="90"/>
      <c r="AX45" s="90"/>
      <c r="AY45" s="90"/>
      <c r="AZ45" s="90"/>
      <c r="BA45" s="121">
        <f t="shared" si="7"/>
        <v>4</v>
      </c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122">
        <f t="shared" si="8"/>
        <v>0</v>
      </c>
      <c r="BM45" s="123">
        <f t="shared" si="9"/>
        <v>36</v>
      </c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121">
        <f t="shared" si="10"/>
        <v>0</v>
      </c>
      <c r="CA45" s="90"/>
      <c r="CB45" s="90"/>
      <c r="CC45" s="122">
        <f t="shared" si="11"/>
        <v>0</v>
      </c>
      <c r="CD45" s="123">
        <f t="shared" si="12"/>
        <v>15</v>
      </c>
      <c r="CE45" s="125">
        <f t="shared" si="17"/>
        <v>92</v>
      </c>
      <c r="CF45" s="126" t="str">
        <f t="shared" si="14"/>
        <v>12с</v>
      </c>
      <c r="CG45" s="127" t="str">
        <f t="shared" si="15"/>
        <v>спелео</v>
      </c>
      <c r="CH45" s="120" t="str">
        <f t="shared" si="16"/>
        <v>І к.с.</v>
      </c>
      <c r="CI45" s="90"/>
      <c r="CJ45" s="90"/>
      <c r="CK45" s="90"/>
      <c r="CL45" s="90"/>
      <c r="CO45" s="129"/>
    </row>
    <row r="46" spans="1:93" s="128" customFormat="1" ht="16.5" customHeight="1">
      <c r="A46" s="90" t="s">
        <v>189</v>
      </c>
      <c r="B46" s="118" t="str">
        <f>VLOOKUP(A46,реєстрація!A:AB,5,FALSE)</f>
        <v>спелео</v>
      </c>
      <c r="C46" s="119" t="str">
        <f>VLOOKUP(A46,реєстрація!A:AK,6,FALSE)</f>
        <v>І к.с.</v>
      </c>
      <c r="D46" s="127" t="s">
        <v>198</v>
      </c>
      <c r="E46" s="134">
        <v>3</v>
      </c>
      <c r="F46" s="134">
        <v>1</v>
      </c>
      <c r="G46" s="134"/>
      <c r="H46" s="134"/>
      <c r="I46" s="134"/>
      <c r="J46" s="134"/>
      <c r="K46" s="134"/>
      <c r="L46" s="134"/>
      <c r="M46" s="138">
        <f t="shared" si="0"/>
        <v>1</v>
      </c>
      <c r="N46" s="134"/>
      <c r="O46" s="134"/>
      <c r="P46" s="134"/>
      <c r="Q46" s="134"/>
      <c r="R46" s="134"/>
      <c r="S46" s="134"/>
      <c r="T46" s="139"/>
      <c r="U46" s="140">
        <f t="shared" si="1"/>
        <v>0</v>
      </c>
      <c r="V46" s="141">
        <f t="shared" si="2"/>
        <v>14</v>
      </c>
      <c r="W46" s="134"/>
      <c r="X46" s="134">
        <v>1</v>
      </c>
      <c r="Y46" s="134">
        <v>1</v>
      </c>
      <c r="Z46" s="134"/>
      <c r="AA46" s="134"/>
      <c r="AB46" s="134"/>
      <c r="AC46" s="134"/>
      <c r="AD46" s="134"/>
      <c r="AE46" s="134"/>
      <c r="AF46" s="134"/>
      <c r="AG46" s="134"/>
      <c r="AH46" s="138">
        <f t="shared" si="3"/>
        <v>2</v>
      </c>
      <c r="AI46" s="134"/>
      <c r="AJ46" s="134"/>
      <c r="AK46" s="134"/>
      <c r="AL46" s="134">
        <v>1</v>
      </c>
      <c r="AM46" s="140">
        <f t="shared" si="4"/>
        <v>1</v>
      </c>
      <c r="AN46" s="141">
        <f t="shared" si="5"/>
        <v>14</v>
      </c>
      <c r="AO46" s="142"/>
      <c r="AP46" s="134"/>
      <c r="AQ46" s="134"/>
      <c r="AR46" s="134"/>
      <c r="AS46" s="141">
        <f t="shared" si="6"/>
        <v>15</v>
      </c>
      <c r="AT46" s="134">
        <v>3</v>
      </c>
      <c r="AU46" s="134"/>
      <c r="AV46" s="134"/>
      <c r="AW46" s="134"/>
      <c r="AX46" s="134">
        <v>1</v>
      </c>
      <c r="AY46" s="134"/>
      <c r="AZ46" s="134"/>
      <c r="BA46" s="138">
        <f t="shared" si="7"/>
        <v>4</v>
      </c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40">
        <f t="shared" si="8"/>
        <v>0</v>
      </c>
      <c r="BM46" s="141">
        <f t="shared" si="9"/>
        <v>36</v>
      </c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8">
        <f t="shared" si="10"/>
        <v>0</v>
      </c>
      <c r="CA46" s="134"/>
      <c r="CB46" s="134"/>
      <c r="CC46" s="140">
        <f t="shared" si="11"/>
        <v>0</v>
      </c>
      <c r="CD46" s="141">
        <f t="shared" si="12"/>
        <v>15</v>
      </c>
      <c r="CE46" s="143">
        <f t="shared" si="17"/>
        <v>94</v>
      </c>
      <c r="CF46" s="144" t="str">
        <f t="shared" si="14"/>
        <v>12с</v>
      </c>
      <c r="CG46" s="127" t="str">
        <f t="shared" si="15"/>
        <v>спелео</v>
      </c>
      <c r="CH46" s="120" t="str">
        <f t="shared" si="16"/>
        <v>І к.с.</v>
      </c>
      <c r="CI46" s="90"/>
      <c r="CJ46" s="90"/>
      <c r="CK46" s="90"/>
      <c r="CL46" s="90"/>
      <c r="CO46" s="129"/>
    </row>
    <row r="47" ht="18.75">
      <c r="CE47" s="9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V40"/>
  <sheetViews>
    <sheetView tabSelected="1" zoomScale="84" zoomScaleNormal="84" zoomScaleSheetLayoutView="90" zoomScalePageLayoutView="0" workbookViewId="0" topLeftCell="A17">
      <selection activeCell="O29" sqref="O29"/>
    </sheetView>
  </sheetViews>
  <sheetFormatPr defaultColWidth="9.00390625" defaultRowHeight="15"/>
  <cols>
    <col min="1" max="1" width="3.7109375" style="40" customWidth="1"/>
    <col min="2" max="2" width="37.421875" style="63" customWidth="1"/>
    <col min="3" max="3" width="29.8515625" style="59" customWidth="1"/>
    <col min="4" max="4" width="10.57421875" style="59" customWidth="1"/>
    <col min="5" max="5" width="6.421875" style="59" customWidth="1"/>
    <col min="6" max="6" width="16.421875" style="59" customWidth="1"/>
    <col min="7" max="11" width="5.28125" style="46" customWidth="1"/>
    <col min="12" max="12" width="5.8515625" style="46" customWidth="1"/>
    <col min="13" max="13" width="4.28125" style="46" customWidth="1"/>
    <col min="14" max="14" width="4.7109375" style="46" customWidth="1"/>
    <col min="15" max="15" width="7.8515625" style="46" customWidth="1"/>
    <col min="16" max="16" width="12.421875" style="31" customWidth="1"/>
    <col min="17" max="18" width="9.00390625" style="60" customWidth="1"/>
    <col min="19" max="16384" width="9.00390625" style="46" customWidth="1"/>
  </cols>
  <sheetData>
    <row r="1" spans="1:22" ht="15.75" customHeight="1">
      <c r="A1" s="203" t="s">
        <v>97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7"/>
      <c r="Q1" s="27"/>
      <c r="R1" s="27"/>
      <c r="S1" s="27"/>
      <c r="T1" s="11"/>
      <c r="U1" s="11"/>
      <c r="V1" s="11"/>
    </row>
    <row r="2" spans="1:22" ht="16.5" customHeight="1">
      <c r="A2" s="204" t="s">
        <v>202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47"/>
      <c r="Q2" s="47"/>
      <c r="R2" s="47"/>
      <c r="S2" s="47"/>
      <c r="T2" s="47"/>
      <c r="U2" s="47"/>
      <c r="V2" s="11"/>
    </row>
    <row r="3" spans="1:22" ht="15" customHeight="1">
      <c r="A3" s="204" t="s">
        <v>112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47"/>
      <c r="Q3" s="47"/>
      <c r="R3" s="47"/>
      <c r="S3" s="47"/>
      <c r="T3" s="47"/>
      <c r="U3" s="47"/>
      <c r="V3" s="11"/>
    </row>
    <row r="4" spans="1:22" ht="18.75" customHeight="1">
      <c r="A4" s="48"/>
      <c r="B4" s="81" t="s">
        <v>175</v>
      </c>
      <c r="C4" s="80"/>
      <c r="D4" s="80"/>
      <c r="E4" s="80"/>
      <c r="G4" s="71"/>
      <c r="H4" s="71"/>
      <c r="I4" s="71"/>
      <c r="J4" s="71"/>
      <c r="K4" s="71"/>
      <c r="L4" s="80" t="s">
        <v>98</v>
      </c>
      <c r="M4" s="71"/>
      <c r="N4" s="71"/>
      <c r="O4" s="71"/>
      <c r="P4" s="11"/>
      <c r="Q4" s="11"/>
      <c r="R4" s="11"/>
      <c r="S4" s="11"/>
      <c r="T4" s="11"/>
      <c r="U4" s="11"/>
      <c r="V4" s="11"/>
    </row>
    <row r="5" spans="1:18" s="58" customFormat="1" ht="55.5" customHeight="1">
      <c r="A5" s="49"/>
      <c r="B5" s="50" t="s">
        <v>2</v>
      </c>
      <c r="C5" s="51" t="s">
        <v>3</v>
      </c>
      <c r="D5" s="52" t="s">
        <v>4</v>
      </c>
      <c r="E5" s="53" t="s">
        <v>5</v>
      </c>
      <c r="F5" s="51" t="s">
        <v>100</v>
      </c>
      <c r="G5" s="53" t="s">
        <v>7</v>
      </c>
      <c r="H5" s="53" t="s">
        <v>102</v>
      </c>
      <c r="I5" s="53" t="s">
        <v>103</v>
      </c>
      <c r="J5" s="53" t="s">
        <v>104</v>
      </c>
      <c r="K5" s="53" t="s">
        <v>105</v>
      </c>
      <c r="L5" s="53" t="s">
        <v>8</v>
      </c>
      <c r="M5" s="53" t="s">
        <v>9</v>
      </c>
      <c r="N5" s="53" t="s">
        <v>10</v>
      </c>
      <c r="O5" s="54" t="s">
        <v>11</v>
      </c>
      <c r="P5" s="55"/>
      <c r="Q5" s="56"/>
      <c r="R5" s="57"/>
    </row>
    <row r="6" spans="1:15" ht="17.25" customHeight="1">
      <c r="A6" s="200" t="s">
        <v>113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2"/>
      <c r="O6" s="67">
        <f>SUM(O7:O7)</f>
        <v>99</v>
      </c>
    </row>
    <row r="7" spans="1:15" s="11" customFormat="1" ht="29.25" customHeight="1">
      <c r="A7" s="6" t="s">
        <v>180</v>
      </c>
      <c r="B7" s="8" t="str">
        <f>VLOOKUP($A7,реєстрація!$A$1:$D$24,3,FALSE)</f>
        <v>КЗ "Навчально-виховний комплекс № 6 "Перспектива" м.Жовті Води</v>
      </c>
      <c r="C7" s="15" t="str">
        <f>VLOOKUP($A7,реєстрація!$A$1:$D$24,4,FALSE)</f>
        <v>Полохін Володимир Геннадійович</v>
      </c>
      <c r="D7" s="15" t="str">
        <f>VLOOKUP($A7,реєстрація!$A$1:$DJ$24,5,FALSE)</f>
        <v>авто-мото</v>
      </c>
      <c r="E7" s="15" t="str">
        <f>VLOOKUP($A7,реєстрація!$A$1:$DJ$24,6,FALSE)</f>
        <v>І к.с.</v>
      </c>
      <c r="F7" s="15" t="str">
        <f>VLOOKUP($A7,реєстрація!$A$1:$DJ$24,7,FALSE)</f>
        <v>Дніпропетровська обл.</v>
      </c>
      <c r="G7" s="15">
        <f>VLOOKUP($A7,реєстрація!$A$1:$DJ$24,8,FALSE)</f>
        <v>4</v>
      </c>
      <c r="H7" s="15">
        <f>VLOOKUP($A7,'розг. оцінка'!$CF:$CL,4,FALSE)</f>
        <v>93</v>
      </c>
      <c r="I7" s="15">
        <f>VLOOKUP($A7,'розг. оцінка'!$CF:$CL,5,FALSE)</f>
        <v>99</v>
      </c>
      <c r="J7" s="15">
        <f>VLOOKUP($A7,'розг. оцінка'!$CF:$CL,6,FALSE)</f>
        <v>0</v>
      </c>
      <c r="K7" s="15">
        <f>VLOOKUP($A7,'розг. оцінка'!$CF:$CL,7,FALSE)</f>
        <v>0</v>
      </c>
      <c r="L7" s="37">
        <f>VLOOKUP($A7,види!$A:$N,12,FALSE)</f>
        <v>96</v>
      </c>
      <c r="M7" s="6">
        <f>VLOOKUP($A7,реєстрація!$A:$Z,10,FALSE)</f>
        <v>3</v>
      </c>
      <c r="N7" s="6">
        <f>VLOOKUP($A7,види!$A:$R,14,FALSE)</f>
        <v>1</v>
      </c>
      <c r="O7" s="37">
        <f>VLOOKUP($A7,види!$A$2:$R45,15,FALSE)</f>
        <v>99</v>
      </c>
    </row>
    <row r="8" spans="1:15" s="11" customFormat="1" ht="14.25" customHeight="1">
      <c r="A8" s="68" t="s">
        <v>116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0"/>
      <c r="O8" s="67">
        <f>SUM(O9:O9)</f>
        <v>89.33333333333333</v>
      </c>
    </row>
    <row r="9" spans="1:16" s="11" customFormat="1" ht="42" customHeight="1">
      <c r="A9" s="6" t="s">
        <v>186</v>
      </c>
      <c r="B9" s="8" t="str">
        <f>VLOOKUP($A9,реєстрація!$A$1:$D$24,3,FALSE)</f>
        <v>Закарпатський  центр туризму,краєзнавства,екскурсій та спорту учнівської молоді</v>
      </c>
      <c r="C9" s="15" t="str">
        <f>VLOOKUP($A9,реєстрація!$A$1:$D$24,4,FALSE)</f>
        <v>Свирид Дмитро Володимирович </v>
      </c>
      <c r="D9" s="15" t="str">
        <f>VLOOKUP($A9,реєстрація!$A$1:$DJ$24,5,FALSE)</f>
        <v>водний</v>
      </c>
      <c r="E9" s="15" t="str">
        <f>VLOOKUP($A9,реєстрація!$A$1:$DJ$24,6,FALSE)</f>
        <v>І к.с.</v>
      </c>
      <c r="F9" s="15" t="str">
        <f>VLOOKUP($A9,реєстрація!$A$1:$DJ$24,7,FALSE)</f>
        <v>р.р.Тиса, Ч.Тиса</v>
      </c>
      <c r="G9" s="15">
        <f>VLOOKUP($A9,реєстрація!$A$1:$DJ$24,8,FALSE)</f>
        <v>8</v>
      </c>
      <c r="H9" s="15">
        <f>VLOOKUP($A9,'розг. оцінка'!$CF:$CL,4,FALSE)</f>
        <v>98</v>
      </c>
      <c r="I9" s="15">
        <f>VLOOKUP($A9,'розг. оцінка'!$CF:$CL,5,FALSE)</f>
        <v>81</v>
      </c>
      <c r="J9" s="15">
        <f>VLOOKUP($A9,'розг. оцінка'!$CF:$CL,6,FALSE)</f>
        <v>80</v>
      </c>
      <c r="K9" s="15">
        <f>VLOOKUP($A9,'розг. оцінка'!$CF:$CL,7,FALSE)</f>
        <v>0</v>
      </c>
      <c r="L9" s="37">
        <f>VLOOKUP($A9,види!$A:$N,12,FALSE)</f>
        <v>86.33333333333333</v>
      </c>
      <c r="M9" s="6">
        <f>VLOOKUP($A9,реєстрація!$A:$Z,10,FALSE)</f>
        <v>3</v>
      </c>
      <c r="N9" s="6">
        <f>VLOOKUP($A9,види!$A:$R,14,FALSE)</f>
        <v>1</v>
      </c>
      <c r="O9" s="37">
        <f>VLOOKUP($A9,види!$A$2:$R47,15,FALSE)</f>
        <v>89.33333333333333</v>
      </c>
      <c r="P9" s="11" t="s">
        <v>207</v>
      </c>
    </row>
    <row r="10" spans="1:15" ht="18" customHeight="1">
      <c r="A10" s="200" t="s">
        <v>199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2"/>
      <c r="O10" s="67">
        <f>SUM(O11:O16)</f>
        <v>684.4833333333332</v>
      </c>
    </row>
    <row r="11" spans="1:15" s="11" customFormat="1" ht="19.5" customHeight="1">
      <c r="A11" s="6" t="s">
        <v>187</v>
      </c>
      <c r="B11" s="8" t="str">
        <f>VLOOKUP($A11,реєстрація!$A$1:$D$24,3,FALSE)</f>
        <v>КЗ "Центр туризму" ЗОР</v>
      </c>
      <c r="C11" s="15" t="str">
        <f>VLOOKUP($A11,реєстрація!$A$1:$D$24,4,FALSE)</f>
        <v>Некрасов Сергій Андрійович</v>
      </c>
      <c r="D11" s="15" t="str">
        <f>VLOOKUP($A11,реєстрація!$A$1:$DJ$24,5,FALSE)</f>
        <v>водний</v>
      </c>
      <c r="E11" s="15" t="str">
        <f>VLOOKUP($A11,реєстрація!$A$1:$DJ$24,6,FALSE)</f>
        <v>І к.с.</v>
      </c>
      <c r="F11" s="15" t="str">
        <f>VLOOKUP($A11,реєстрація!$A$1:$DJ$24,7,FALSE)</f>
        <v>р.Орель</v>
      </c>
      <c r="G11" s="15">
        <f>VLOOKUP($A11,реєстрація!$A$1:$DJ$24,8,FALSE)</f>
        <v>8</v>
      </c>
      <c r="H11" s="15">
        <f>VLOOKUP($A11,'розг. оцінка'!$CF:$CL,4,FALSE)</f>
        <v>98</v>
      </c>
      <c r="I11" s="15">
        <f>VLOOKUP($A11,'розг. оцінка'!$CF:$CL,5,FALSE)</f>
        <v>87</v>
      </c>
      <c r="J11" s="15">
        <f>VLOOKUP($A11,'розг. оцінка'!$CF:$CL,6,FALSE)</f>
        <v>95</v>
      </c>
      <c r="K11" s="15">
        <f>VLOOKUP($A11,'розг. оцінка'!$CF:$CL,7,FALSE)</f>
        <v>0</v>
      </c>
      <c r="L11" s="37">
        <f>VLOOKUP($A11,види!$A:$N,12,FALSE)</f>
        <v>93.33333333333333</v>
      </c>
      <c r="M11" s="6">
        <f>VLOOKUP($A11,реєстрація!$A:$Z,10,FALSE)</f>
        <v>3</v>
      </c>
      <c r="N11" s="6">
        <f>VLOOKUP($A11,види!$A:$R,14,FALSE)</f>
        <v>1</v>
      </c>
      <c r="O11" s="37">
        <f>VLOOKUP($A11,види!$A$2:$R49,15,FALSE)</f>
        <v>96.33333333333333</v>
      </c>
    </row>
    <row r="12" spans="1:15" s="11" customFormat="1" ht="19.5" customHeight="1">
      <c r="A12" s="6" t="s">
        <v>188</v>
      </c>
      <c r="B12" s="8" t="str">
        <f>VLOOKUP($A12,реєстрація!$A$1:$D$24,3,FALSE)</f>
        <v>КЗ "Центр туризму" ЗОР Приморський відділ</v>
      </c>
      <c r="C12" s="15" t="str">
        <f>VLOOKUP($A12,реєстрація!$A$1:$D$24,4,FALSE)</f>
        <v>Микалюк Світлана Миколаївна</v>
      </c>
      <c r="D12" s="15" t="str">
        <f>VLOOKUP($A12,реєстрація!$A$1:$DJ$24,5,FALSE)</f>
        <v>пішохідний </v>
      </c>
      <c r="E12" s="15" t="str">
        <f>VLOOKUP($A12,реєстрація!$A$1:$DJ$24,6,FALSE)</f>
        <v>І к.с.</v>
      </c>
      <c r="F12" s="15" t="str">
        <f>VLOOKUP($A12,реєстрація!$A$1:$DJ$24,7,FALSE)</f>
        <v>Болгарія</v>
      </c>
      <c r="G12" s="15">
        <f>VLOOKUP($A12,реєстрація!$A$1:$DJ$24,8,FALSE)</f>
        <v>8</v>
      </c>
      <c r="H12" s="15">
        <f>VLOOKUP($A12,'розг. оцінка'!$CF:$CL,4,FALSE)</f>
        <v>92</v>
      </c>
      <c r="I12" s="15">
        <f>VLOOKUP($A12,'розг. оцінка'!$CF:$CL,5,FALSE)</f>
        <v>112</v>
      </c>
      <c r="J12" s="15">
        <f>VLOOKUP($A12,'розг. оцінка'!$CF:$CL,6,FALSE)</f>
        <v>104</v>
      </c>
      <c r="K12" s="15">
        <f>VLOOKUP($A12,'розг. оцінка'!$CF:$CL,7,FALSE)</f>
        <v>103</v>
      </c>
      <c r="L12" s="37">
        <f>VLOOKUP($A12,види!$A:$N,12,FALSE)</f>
        <v>102.75</v>
      </c>
      <c r="M12" s="6">
        <f>VLOOKUP($A12,реєстрація!$A:$Z,10,FALSE)</f>
        <v>3</v>
      </c>
      <c r="N12" s="6">
        <f>VLOOKUP($A12,види!$A:$R,14,FALSE)</f>
        <v>1</v>
      </c>
      <c r="O12" s="37">
        <f>VLOOKUP($A12,види!$A$2:$R50,15,FALSE)</f>
        <v>105.75</v>
      </c>
    </row>
    <row r="13" spans="1:15" s="11" customFormat="1" ht="19.5" customHeight="1">
      <c r="A13" s="6" t="s">
        <v>189</v>
      </c>
      <c r="B13" s="8" t="str">
        <f>VLOOKUP($A13,реєстрація!$A$1:$D$24,3,FALSE)</f>
        <v>КЗ "Центр туризму"ЗОР</v>
      </c>
      <c r="C13" s="15" t="str">
        <f>VLOOKUP($A13,реєстрація!$A$1:$D$24,4,FALSE)</f>
        <v>Третяченко Олександр Сергійович</v>
      </c>
      <c r="D13" s="15" t="str">
        <f>VLOOKUP($A13,реєстрація!$A$1:$DJ$24,5,FALSE)</f>
        <v>спелео</v>
      </c>
      <c r="E13" s="15" t="str">
        <f>VLOOKUP($A13,реєстрація!$A$1:$DJ$24,6,FALSE)</f>
        <v>І к.с.</v>
      </c>
      <c r="F13" s="15" t="str">
        <f>VLOOKUP($A13,реєстрація!$A$1:$DJ$24,7,FALSE)</f>
        <v>Тернопільська обл.</v>
      </c>
      <c r="G13" s="15">
        <f>VLOOKUP($A13,реєстрація!$A$1:$DJ$24,8,FALSE)</f>
        <v>13</v>
      </c>
      <c r="H13" s="15">
        <f>VLOOKUP($A13,'розг. оцінка'!$CF:$CL,4,FALSE)</f>
        <v>93</v>
      </c>
      <c r="I13" s="15">
        <f>VLOOKUP($A13,'розг. оцінка'!$CF:$CL,5,FALSE)</f>
        <v>92</v>
      </c>
      <c r="J13" s="15">
        <f>VLOOKUP($A13,'розг. оцінка'!$CF:$CL,6,FALSE)</f>
        <v>94</v>
      </c>
      <c r="K13" s="15">
        <f>VLOOKUP($A13,'розг. оцінка'!$CF:$CL,7,FALSE)</f>
        <v>0</v>
      </c>
      <c r="L13" s="37">
        <f>VLOOKUP($A13,види!$A:$N,12,FALSE)</f>
        <v>93</v>
      </c>
      <c r="M13" s="6">
        <f>VLOOKUP($A13,реєстрація!$A:$Z,10,FALSE)</f>
        <v>3</v>
      </c>
      <c r="N13" s="6">
        <f>VLOOKUP($A13,види!$A:$R,14,FALSE)</f>
        <v>1</v>
      </c>
      <c r="O13" s="37">
        <f>VLOOKUP($A13,види!$A$2:$R51,15,FALSE)</f>
        <v>96</v>
      </c>
    </row>
    <row r="14" spans="1:15" s="11" customFormat="1" ht="19.5" customHeight="1">
      <c r="A14" s="6" t="s">
        <v>190</v>
      </c>
      <c r="B14" s="8" t="str">
        <f>VLOOKUP($A14,реєстрація!$A$1:$D$24,3,FALSE)</f>
        <v>Запорізький національний університет</v>
      </c>
      <c r="C14" s="15" t="str">
        <f>VLOOKUP($A14,реєстрація!$A$1:$D$24,4,FALSE)</f>
        <v>Пиптюк Павло Федорович</v>
      </c>
      <c r="D14" s="15" t="str">
        <f>VLOOKUP($A14,реєстрація!$A$1:$DJ$24,5,FALSE)</f>
        <v>пішохідний </v>
      </c>
      <c r="E14" s="15" t="str">
        <f>VLOOKUP($A14,реєстрація!$A$1:$DJ$24,6,FALSE)</f>
        <v>ІІ к.с.</v>
      </c>
      <c r="F14" s="15" t="str">
        <f>VLOOKUP($A14,реєстрація!$A$1:$DJ$24,7,FALSE)</f>
        <v>Карпати</v>
      </c>
      <c r="G14" s="15">
        <f>VLOOKUP($A14,реєстрація!$A$1:$DJ$24,8,FALSE)</f>
        <v>6</v>
      </c>
      <c r="H14" s="15">
        <f>VLOOKUP($A14,'розг. оцінка'!$CF:$CL,4,FALSE)</f>
        <v>89</v>
      </c>
      <c r="I14" s="15">
        <f>VLOOKUP($A14,'розг. оцінка'!$CF:$CL,5,FALSE)</f>
        <v>99</v>
      </c>
      <c r="J14" s="15">
        <f>VLOOKUP($A14,'розг. оцінка'!$CF:$CL,6,FALSE)</f>
        <v>98</v>
      </c>
      <c r="K14" s="15">
        <f>VLOOKUP($A14,'розг. оцінка'!$CF:$CL,7,FALSE)</f>
        <v>0</v>
      </c>
      <c r="L14" s="37">
        <f>VLOOKUP($A14,види!$A:$N,12,FALSE)</f>
        <v>95.33333333333333</v>
      </c>
      <c r="M14" s="6">
        <f>VLOOKUP($A14,реєстрація!$A:$Z,10,FALSE)</f>
        <v>3</v>
      </c>
      <c r="N14" s="6">
        <f>VLOOKUP($A14,види!$A:$R,14,FALSE)</f>
        <v>1.2</v>
      </c>
      <c r="O14" s="37">
        <f>VLOOKUP($A14,види!$A$2:$R52,15,FALSE)</f>
        <v>117.99999999999999</v>
      </c>
    </row>
    <row r="15" spans="1:15" s="11" customFormat="1" ht="39.75" customHeight="1">
      <c r="A15" s="6" t="s">
        <v>191</v>
      </c>
      <c r="B15" s="8" t="str">
        <f>VLOOKUP($A15,реєстрація!$A$1:$D$24,3,FALSE)</f>
        <v>КЗ "Запорізький обласний центр туризму і краєзнавства,спорту та екскурсій учнівської молоді"</v>
      </c>
      <c r="C15" s="15" t="str">
        <f>VLOOKUP($A15,реєстрація!$A$1:$D$24,4,FALSE)</f>
        <v>Кроль Владислав Володимирович</v>
      </c>
      <c r="D15" s="15" t="str">
        <f>VLOOKUP($A15,реєстрація!$A$1:$DJ$24,5,FALSE)</f>
        <v>водний</v>
      </c>
      <c r="E15" s="15" t="str">
        <f>VLOOKUP($A15,реєстрація!$A$1:$DJ$24,6,FALSE)</f>
        <v>ІІ к.с. </v>
      </c>
      <c r="F15" s="15" t="str">
        <f>VLOOKUP($A15,реєстрація!$A$1:$DJ$24,7,FALSE)</f>
        <v>р. П.Буг</v>
      </c>
      <c r="G15" s="15">
        <f>VLOOKUP($A15,реєстрація!$A$1:$DJ$24,8,FALSE)</f>
        <v>8</v>
      </c>
      <c r="H15" s="15">
        <f>VLOOKUP($A15,'розг. оцінка'!$CF:$CL,4,FALSE)</f>
        <v>97</v>
      </c>
      <c r="I15" s="15">
        <f>VLOOKUP($A15,'розг. оцінка'!$CF:$CL,5,FALSE)</f>
        <v>103</v>
      </c>
      <c r="J15" s="15">
        <f>VLOOKUP($A15,'розг. оцінка'!$CF:$CL,6,FALSE)</f>
        <v>105</v>
      </c>
      <c r="K15" s="15">
        <f>VLOOKUP($A15,'розг. оцінка'!$CF:$CL,7,FALSE)</f>
        <v>0</v>
      </c>
      <c r="L15" s="37">
        <f>VLOOKUP($A15,види!$A:$N,12,FALSE)</f>
        <v>101.66666666666667</v>
      </c>
      <c r="M15" s="6">
        <f>VLOOKUP($A15,реєстрація!$A:$Z,10,FALSE)</f>
        <v>3</v>
      </c>
      <c r="N15" s="6">
        <f>VLOOKUP($A15,види!$A:$R,14,FALSE)</f>
        <v>1.2</v>
      </c>
      <c r="O15" s="37">
        <f>VLOOKUP($A15,види!$A$2:$R53,15,FALSE)</f>
        <v>125.6</v>
      </c>
    </row>
    <row r="16" spans="1:22" s="12" customFormat="1" ht="29.25" customHeight="1">
      <c r="A16" s="6" t="s">
        <v>192</v>
      </c>
      <c r="B16" s="8" t="str">
        <f>VLOOKUP($A16,реєстрація!$A$1:$D$24,3,FALSE)</f>
        <v>КЗ "Центр туризму" ЗОР</v>
      </c>
      <c r="C16" s="15" t="str">
        <f>VLOOKUP($A16,реєстрація!$A$1:$D$24,4,FALSE)</f>
        <v>Некрасов Сергій Андрійович</v>
      </c>
      <c r="D16" s="15" t="str">
        <f>VLOOKUP($A16,реєстрація!$A$1:$DJ$24,5,FALSE)</f>
        <v>пішохідний </v>
      </c>
      <c r="E16" s="15" t="str">
        <f>VLOOKUP($A16,реєстрація!$A$1:$DJ$24,6,FALSE)</f>
        <v>ІІІ к.с. </v>
      </c>
      <c r="F16" s="15" t="str">
        <f>VLOOKUP($A16,реєстрація!$A$1:$DJ$24,7,FALSE)</f>
        <v>Карпати</v>
      </c>
      <c r="G16" s="15">
        <f>VLOOKUP($A16,реєстрація!$A$1:$DJ$24,8,FALSE)</f>
        <v>6</v>
      </c>
      <c r="H16" s="15">
        <f>VLOOKUP($A16,'розг. оцінка'!$CF:$CL,4,FALSE)</f>
        <v>91</v>
      </c>
      <c r="I16" s="15">
        <f>VLOOKUP($A16,'розг. оцінка'!$CF:$CL,5,FALSE)</f>
        <v>104</v>
      </c>
      <c r="J16" s="15">
        <f>VLOOKUP($A16,'розг. оцінка'!$CF:$CL,6,FALSE)</f>
        <v>102</v>
      </c>
      <c r="K16" s="15">
        <f>VLOOKUP($A16,'розг. оцінка'!$CF:$CL,7,FALSE)</f>
        <v>0</v>
      </c>
      <c r="L16" s="37">
        <f>VLOOKUP($A16,види!$A:$N,12,FALSE)</f>
        <v>99</v>
      </c>
      <c r="M16" s="6">
        <f>VLOOKUP($A16,реєстрація!$A:$Z,10,FALSE)</f>
        <v>3</v>
      </c>
      <c r="N16" s="6">
        <f>VLOOKUP($A16,види!$A:$R,14,FALSE)</f>
        <v>1.4</v>
      </c>
      <c r="O16" s="37">
        <f>VLOOKUP($A16,види!$A$2:$R54,15,FALSE)</f>
        <v>142.79999999999998</v>
      </c>
      <c r="Q16" s="11"/>
      <c r="R16" s="11"/>
      <c r="S16" s="11"/>
      <c r="T16" s="11"/>
      <c r="U16" s="11"/>
      <c r="V16" s="11"/>
    </row>
    <row r="17" spans="1:15" ht="18" customHeight="1">
      <c r="A17" s="200" t="s">
        <v>114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2"/>
      <c r="O17" s="67">
        <f>SUM(O18:O19)</f>
        <v>215.33333333333331</v>
      </c>
    </row>
    <row r="18" spans="1:15" ht="27" customHeight="1">
      <c r="A18" s="6" t="s">
        <v>178</v>
      </c>
      <c r="B18" s="8" t="str">
        <f>VLOOKUP($A18,реєстрація!$A$1:$D$24,3,FALSE)</f>
        <v>Кіровоградський державний педагогічний університет ім.В.Вінниченка</v>
      </c>
      <c r="C18" s="15" t="str">
        <f>VLOOKUP($A18,реєстрація!$A$1:$D$24,4,FALSE)</f>
        <v>Домаранський Андрій Олександрович</v>
      </c>
      <c r="D18" s="15" t="str">
        <f>VLOOKUP($A18,реєстрація!$A$1:$DJ$24,5,FALSE)</f>
        <v>водний</v>
      </c>
      <c r="E18" s="15" t="str">
        <f>VLOOKUP($A18,реєстрація!$A$1:$DJ$24,6,FALSE)</f>
        <v>І к.с.</v>
      </c>
      <c r="F18" s="15" t="str">
        <f>VLOOKUP($A18,реєстрація!$A$1:$DJ$24,7,FALSE)</f>
        <v>р. П.Буг</v>
      </c>
      <c r="G18" s="15">
        <f>VLOOKUP($A18,реєстрація!$A$1:$DJ$24,8,FALSE)</f>
        <v>12</v>
      </c>
      <c r="H18" s="15">
        <f>VLOOKUP($A18,'розг. оцінка'!$CF:$CL,4,FALSE)</f>
        <v>101</v>
      </c>
      <c r="I18" s="15">
        <f>VLOOKUP($A18,'розг. оцінка'!$CF:$CL,5,FALSE)</f>
        <v>94</v>
      </c>
      <c r="J18" s="15">
        <f>VLOOKUP($A18,'розг. оцінка'!$CF:$CL,6,FALSE)</f>
        <v>82</v>
      </c>
      <c r="K18" s="15">
        <f>VLOOKUP($A18,'розг. оцінка'!$CF:$CL,7,FALSE)</f>
        <v>0</v>
      </c>
      <c r="L18" s="37">
        <f>VLOOKUP($A18,види!$A:$N,12,FALSE)</f>
        <v>92.33333333333333</v>
      </c>
      <c r="M18" s="6">
        <f>VLOOKUP($A18,реєстрація!$A:$Z,10,FALSE)</f>
        <v>3</v>
      </c>
      <c r="N18" s="6">
        <f>VLOOKUP($A18,види!$A:$R,14,FALSE)</f>
        <v>1</v>
      </c>
      <c r="O18" s="37">
        <f>VLOOKUP($A18,види!$A$2:$R56,15,FALSE)</f>
        <v>95.33333333333333</v>
      </c>
    </row>
    <row r="19" spans="1:15" ht="27" customHeight="1">
      <c r="A19" s="6" t="s">
        <v>179</v>
      </c>
      <c r="B19" s="8" t="str">
        <f>VLOOKUP($A19,реєстрація!$A$1:$D$24,3,FALSE)</f>
        <v>Кіровоградський державний педагогічний університет ім.В.Вінниченка</v>
      </c>
      <c r="C19" s="15" t="str">
        <f>VLOOKUP($A19,реєстрація!$A$1:$D$24,4,FALSE)</f>
        <v>Кумпан Анатолій Анатолійович</v>
      </c>
      <c r="D19" s="15" t="str">
        <f>VLOOKUP($A19,реєстрація!$A$1:$DJ$24,5,FALSE)</f>
        <v>пішохідний </v>
      </c>
      <c r="E19" s="15" t="str">
        <f>VLOOKUP($A19,реєстрація!$A$1:$DJ$24,6,FALSE)</f>
        <v>ІІ к.с.</v>
      </c>
      <c r="F19" s="15" t="str">
        <f>VLOOKUP($A19,реєстрація!$A$1:$DJ$24,7,FALSE)</f>
        <v>Карпати</v>
      </c>
      <c r="G19" s="15">
        <f>VLOOKUP($A19,реєстрація!$A$1:$DJ$24,8,FALSE)</f>
        <v>6</v>
      </c>
      <c r="H19" s="15">
        <f>VLOOKUP($A19,'розг. оцінка'!$CF:$CL,4,FALSE)</f>
        <v>83</v>
      </c>
      <c r="I19" s="15">
        <f>VLOOKUP($A19,'розг. оцінка'!$CF:$CL,5,FALSE)</f>
        <v>101</v>
      </c>
      <c r="J19" s="15">
        <f>VLOOKUP($A19,'розг. оцінка'!$CF:$CL,6,FALSE)</f>
        <v>107</v>
      </c>
      <c r="K19" s="15">
        <f>VLOOKUP($A19,'розг. оцінка'!$CF:$CL,7,FALSE)</f>
        <v>0</v>
      </c>
      <c r="L19" s="37">
        <f>VLOOKUP($A19,види!$A:$N,12,FALSE)</f>
        <v>97</v>
      </c>
      <c r="M19" s="6">
        <f>VLOOKUP($A19,реєстрація!$A:$Z,10,FALSE)</f>
        <v>3</v>
      </c>
      <c r="N19" s="6">
        <f>VLOOKUP($A19,види!$A:$R,14,FALSE)</f>
        <v>1.2</v>
      </c>
      <c r="O19" s="37">
        <f>VLOOKUP($A19,види!$A$2:$R57,15,FALSE)</f>
        <v>120</v>
      </c>
    </row>
    <row r="20" spans="1:15" ht="18" customHeight="1">
      <c r="A20" s="200" t="s">
        <v>200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2"/>
      <c r="O20" s="67">
        <f>SUM(O21:O22)</f>
        <v>263.96666666666664</v>
      </c>
    </row>
    <row r="21" spans="1:15" ht="26.25" customHeight="1">
      <c r="A21" s="15" t="s">
        <v>184</v>
      </c>
      <c r="B21" s="8" t="str">
        <f>VLOOKUP($A21,реєстрація!$A$1:$D$24,3,FALSE)</f>
        <v>Центр туризму,краєзнавства та екскурсій учнівської молоді</v>
      </c>
      <c r="C21" s="15" t="str">
        <f>VLOOKUP($A21,реєстрація!$A$1:$D$24,4,FALSE)</f>
        <v>Овсяннікова Олена Вікторівна</v>
      </c>
      <c r="D21" s="15" t="str">
        <f>VLOOKUP($A21,реєстрація!$A$1:$DJ$24,5,FALSE)</f>
        <v>пішохідний </v>
      </c>
      <c r="E21" s="15" t="str">
        <f>VLOOKUP($A21,реєстрація!$A$1:$DJ$24,6,FALSE)</f>
        <v>ІІІ к.с.</v>
      </c>
      <c r="F21" s="15" t="str">
        <f>VLOOKUP($A21,реєстрація!$A$1:$DJ$24,7,FALSE)</f>
        <v>Карпати</v>
      </c>
      <c r="G21" s="15">
        <f>VLOOKUP($A21,реєстрація!$A$1:$DJ$24,8,FALSE)</f>
        <v>6</v>
      </c>
      <c r="H21" s="15">
        <f>VLOOKUP($A21,'розг. оцінка'!$CF:$CL,4,FALSE)</f>
        <v>117</v>
      </c>
      <c r="I21" s="15">
        <f>VLOOKUP($A21,'розг. оцінка'!$CF:$CL,5,FALSE)</f>
        <v>113</v>
      </c>
      <c r="J21" s="15">
        <f>VLOOKUP($A21,'розг. оцінка'!$CF:$CL,6,FALSE)</f>
        <v>107</v>
      </c>
      <c r="K21" s="15">
        <f>VLOOKUP($A21,'розг. оцінка'!$CF:$CL,7,FALSE)</f>
        <v>0</v>
      </c>
      <c r="L21" s="37">
        <f>VLOOKUP($A21,види!$A:$N,12,FALSE)</f>
        <v>112.33333333333333</v>
      </c>
      <c r="M21" s="6">
        <f>VLOOKUP($A21,реєстрація!$A:$Z,10,FALSE)</f>
        <v>3</v>
      </c>
      <c r="N21" s="6">
        <f>VLOOKUP($A21,види!$A:$R,14,FALSE)</f>
        <v>1.4</v>
      </c>
      <c r="O21" s="37">
        <f>VLOOKUP($A21,види!$A$2:$R59,15,FALSE)</f>
        <v>161.46666666666664</v>
      </c>
    </row>
    <row r="22" spans="1:15" ht="26.25" customHeight="1">
      <c r="A22" s="15" t="s">
        <v>185</v>
      </c>
      <c r="B22" s="8" t="str">
        <f>VLOOKUP($A22,реєстрація!$A$1:$D$24,3,FALSE)</f>
        <v>Центр туризму,краєзнавства та екскурсій учнівської молоді</v>
      </c>
      <c r="C22" s="15" t="str">
        <f>VLOOKUP($A22,реєстрація!$A$1:$D$24,4,FALSE)</f>
        <v>Трощенко Володимир Олександрович</v>
      </c>
      <c r="D22" s="15" t="str">
        <f>VLOOKUP($A22,реєстрація!$A$1:$DJ$24,5,FALSE)</f>
        <v>велосипедний</v>
      </c>
      <c r="E22" s="15" t="str">
        <f>VLOOKUP($A22,реєстрація!$A$1:$DJ$24,6,FALSE)</f>
        <v>І к.с.</v>
      </c>
      <c r="F22" s="15" t="str">
        <f>VLOOKUP($A22,реєстрація!$A$1:$DJ$24,7,FALSE)</f>
        <v>Миколаївська обл.</v>
      </c>
      <c r="G22" s="15">
        <f>VLOOKUP($A22,реєстрація!$A$1:$DJ$24,8,FALSE)</f>
        <v>8</v>
      </c>
      <c r="H22" s="15">
        <f>VLOOKUP($A22,'розг. оцінка'!$CF:$CL,4,FALSE)</f>
        <v>93</v>
      </c>
      <c r="I22" s="15">
        <f>VLOOKUP($A22,'розг. оцінка'!$CF:$CL,5,FALSE)</f>
        <v>106</v>
      </c>
      <c r="J22" s="15">
        <f>VLOOKUP($A22,'розг. оцінка'!$CF:$CL,6,FALSE)</f>
        <v>0</v>
      </c>
      <c r="K22" s="15">
        <f>VLOOKUP($A22,'розг. оцінка'!$CF:$CL,7,FALSE)</f>
        <v>0</v>
      </c>
      <c r="L22" s="37">
        <f>VLOOKUP($A22,види!$A:$N,12,FALSE)</f>
        <v>99.5</v>
      </c>
      <c r="M22" s="6">
        <f>VLOOKUP($A22,реєстрація!$A:$Z,10,FALSE)</f>
        <v>3</v>
      </c>
      <c r="N22" s="6">
        <f>VLOOKUP($A22,види!$A:$R,14,FALSE)</f>
        <v>1</v>
      </c>
      <c r="O22" s="37">
        <f>VLOOKUP($A22,види!$A$2:$R60,15,FALSE)</f>
        <v>102.5</v>
      </c>
    </row>
    <row r="23" spans="1:15" ht="16.5" customHeight="1">
      <c r="A23" s="200" t="s">
        <v>115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2"/>
      <c r="O23" s="67">
        <f>SUM(O24:O24)</f>
        <v>122.39999999999999</v>
      </c>
    </row>
    <row r="24" spans="1:16" s="11" customFormat="1" ht="26.25" customHeight="1">
      <c r="A24" s="6" t="s">
        <v>181</v>
      </c>
      <c r="B24" s="8" t="str">
        <f>VLOOKUP($A24,реєстрація!$A$1:$D$24,3,FALSE)</f>
        <v>КЗ "Обласний центр позашкільної освіти та роботи з талановитою молоддю "</v>
      </c>
      <c r="C24" s="15" t="str">
        <f>VLOOKUP($A24,реєстрація!$A$1:$D$24,4,FALSE)</f>
        <v>Бацман Жанна Григорівна</v>
      </c>
      <c r="D24" s="15" t="str">
        <f>VLOOKUP($A24,реєстрація!$A$1:$DJ$24,5,FALSE)</f>
        <v>пішохідний </v>
      </c>
      <c r="E24" s="15" t="str">
        <f>VLOOKUP($A24,реєстрація!$A$1:$DJ$24,6,FALSE)</f>
        <v>ІІ к.с.</v>
      </c>
      <c r="F24" s="15" t="str">
        <f>VLOOKUP($A24,реєстрація!$A$1:$DJ$24,7,FALSE)</f>
        <v>Карпати</v>
      </c>
      <c r="G24" s="15">
        <f>VLOOKUP($A24,реєстрація!$A$1:$DJ$24,8,FALSE)</f>
        <v>9</v>
      </c>
      <c r="H24" s="15">
        <f>VLOOKUP($A24,'розг. оцінка'!$CF:$CL,4,FALSE)</f>
        <v>94</v>
      </c>
      <c r="I24" s="15">
        <f>VLOOKUP($A24,'розг. оцінка'!$CF:$CL,5,FALSE)</f>
        <v>99</v>
      </c>
      <c r="J24" s="15">
        <f>VLOOKUP($A24,'розг. оцінка'!$CF:$CL,6,FALSE)</f>
        <v>104</v>
      </c>
      <c r="K24" s="15">
        <f>VLOOKUP($A24,'розг. оцінка'!$CF:$CL,7,FALSE)</f>
        <v>0</v>
      </c>
      <c r="L24" s="37">
        <f>VLOOKUP($A24,види!$A:$N,12,FALSE)</f>
        <v>99</v>
      </c>
      <c r="M24" s="6">
        <f>VLOOKUP($A24,реєстрація!$A:$Z,10,FALSE)</f>
        <v>2</v>
      </c>
      <c r="N24" s="6">
        <f>VLOOKUP($A24,види!$A:$R,14,FALSE)</f>
        <v>1.2</v>
      </c>
      <c r="O24" s="37">
        <f>VLOOKUP($A24,види!$A$2:$R62,15,FALSE)</f>
        <v>122.39999999999999</v>
      </c>
      <c r="P24" s="32"/>
    </row>
    <row r="25" spans="1:15" ht="15.75" customHeight="1">
      <c r="A25" s="200" t="s">
        <v>201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2"/>
      <c r="O25" s="67">
        <f>SUM(O26:O27)</f>
        <v>205.25</v>
      </c>
    </row>
    <row r="26" spans="1:15" ht="27" customHeight="1">
      <c r="A26" s="6" t="s">
        <v>182</v>
      </c>
      <c r="B26" s="8" t="str">
        <f>VLOOKUP($A26,реєстрація!$A$1:$D$24,3,FALSE)</f>
        <v>Центр дитячої та юнацької творчості Хмельницького району</v>
      </c>
      <c r="C26" s="15" t="str">
        <f>VLOOKUP($A26,реєстрація!$A$1:$D$24,4,FALSE)</f>
        <v>Мельник Інна Віталіївна</v>
      </c>
      <c r="D26" s="15" t="str">
        <f>VLOOKUP($A26,реєстрація!$A$1:$DJ$24,5,FALSE)</f>
        <v>пішохідний </v>
      </c>
      <c r="E26" s="15" t="str">
        <f>VLOOKUP($A26,реєстрація!$A$1:$DJ$24,6,FALSE)</f>
        <v>І к.с. </v>
      </c>
      <c r="F26" s="15" t="str">
        <f>VLOOKUP($A26,реєстрація!$A$1:$DJ$24,7,FALSE)</f>
        <v>Карпати</v>
      </c>
      <c r="G26" s="15">
        <f>VLOOKUP($A26,реєстрація!$A$1:$DJ$24,8,FALSE)</f>
        <v>10</v>
      </c>
      <c r="H26" s="15">
        <f>VLOOKUP($A26,'розг. оцінка'!$CF:$CL,4,FALSE)</f>
        <v>103</v>
      </c>
      <c r="I26" s="15">
        <f>VLOOKUP($A26,'розг. оцінка'!$CF:$CL,5,FALSE)</f>
        <v>99</v>
      </c>
      <c r="J26" s="15">
        <f>VLOOKUP($A26,'розг. оцінка'!$CF:$CL,6,FALSE)</f>
        <v>116</v>
      </c>
      <c r="K26" s="15">
        <f>VLOOKUP($A26,'розг. оцінка'!$CF:$CL,7,FALSE)</f>
        <v>83</v>
      </c>
      <c r="L26" s="37">
        <f>VLOOKUP($A26,види!$A:$N,12,FALSE)</f>
        <v>100.25</v>
      </c>
      <c r="M26" s="6">
        <f>VLOOKUP($A26,реєстрація!$A:$Z,10,FALSE)</f>
        <v>3</v>
      </c>
      <c r="N26" s="6">
        <f>VLOOKUP($A26,види!$A:$R,14,FALSE)</f>
        <v>1</v>
      </c>
      <c r="O26" s="37">
        <f>VLOOKUP($A26,види!$A$2:$R64,15,FALSE)</f>
        <v>103.25</v>
      </c>
    </row>
    <row r="27" spans="1:15" ht="27" customHeight="1">
      <c r="A27" s="6" t="s">
        <v>183</v>
      </c>
      <c r="B27" s="8" t="str">
        <f>VLOOKUP($A27,реєстрація!$A$1:$D$24,3,FALSE)</f>
        <v>Кам'янець-Подільський міський осередок Федераціїспортивного туризму України</v>
      </c>
      <c r="C27" s="15" t="str">
        <f>VLOOKUP($A27,реєстрація!$A$1:$D$24,4,FALSE)</f>
        <v>Логуш Ірина Михайлівна</v>
      </c>
      <c r="D27" s="15" t="str">
        <f>VLOOKUP($A27,реєстрація!$A$1:$DJ$24,5,FALSE)</f>
        <v>водний</v>
      </c>
      <c r="E27" s="15" t="str">
        <f>VLOOKUP($A27,реєстрація!$A$1:$DJ$24,6,FALSE)</f>
        <v>І к.с.</v>
      </c>
      <c r="F27" s="15" t="str">
        <f>VLOOKUP($A27,реєстрація!$A$1:$DJ$24,7,FALSE)</f>
        <v>р.р.Серет, Дністер</v>
      </c>
      <c r="G27" s="15">
        <f>VLOOKUP($A27,реєстрація!$A$1:$DJ$24,8,FALSE)</f>
        <v>12</v>
      </c>
      <c r="H27" s="15">
        <f>VLOOKUP($A27,'розг. оцінка'!$CF:$CL,4,FALSE)</f>
        <v>99</v>
      </c>
      <c r="I27" s="15">
        <f>VLOOKUP($A27,'розг. оцінка'!$CF:$CL,5,FALSE)</f>
        <v>98</v>
      </c>
      <c r="J27" s="15">
        <f>VLOOKUP($A27,'розг. оцінка'!$CF:$CL,6,FALSE)</f>
        <v>100</v>
      </c>
      <c r="K27" s="15">
        <f>VLOOKUP($A27,'розг. оцінка'!$CF:$CL,7,FALSE)</f>
        <v>0</v>
      </c>
      <c r="L27" s="37">
        <f>VLOOKUP($A27,види!$A:$N,12,FALSE)</f>
        <v>99</v>
      </c>
      <c r="M27" s="6">
        <f>VLOOKUP($A27,реєстрація!$A:$Z,10,FALSE)</f>
        <v>3</v>
      </c>
      <c r="N27" s="6">
        <f>VLOOKUP($A27,види!$A:$R,14,FALSE)</f>
        <v>1</v>
      </c>
      <c r="O27" s="37">
        <f>VLOOKUP($A27,види!$A$2:$R65,15,FALSE)</f>
        <v>102</v>
      </c>
    </row>
    <row r="28" spans="1:15" s="11" customFormat="1" ht="12" customHeight="1">
      <c r="A28" s="35"/>
      <c r="B28" s="41" t="s">
        <v>109</v>
      </c>
      <c r="C28" s="64"/>
      <c r="D28" s="190" t="s">
        <v>110</v>
      </c>
      <c r="E28" s="64"/>
      <c r="G28" s="38">
        <f>SUM(G7,G9,G11:G16,G18:G19,G21:G22,G24,G26:G27)</f>
        <v>124</v>
      </c>
      <c r="H28" s="38"/>
      <c r="I28" s="38"/>
      <c r="J28" s="38"/>
      <c r="K28" s="38"/>
      <c r="L28" s="62"/>
      <c r="M28" s="35"/>
      <c r="N28" s="35"/>
      <c r="O28" s="34"/>
    </row>
    <row r="29" spans="1:15" ht="15.75" customHeight="1">
      <c r="A29" s="35"/>
      <c r="B29" s="205" t="s">
        <v>111</v>
      </c>
      <c r="C29" s="205"/>
      <c r="D29" s="191" t="s">
        <v>241</v>
      </c>
      <c r="G29" s="66"/>
      <c r="H29" s="66"/>
      <c r="I29" s="32"/>
      <c r="J29" s="60"/>
      <c r="K29" s="60"/>
      <c r="L29" s="60"/>
      <c r="M29" s="60"/>
      <c r="N29" s="31"/>
      <c r="O29" s="60"/>
    </row>
    <row r="30" spans="1:15" ht="15.75" customHeight="1">
      <c r="A30" s="35"/>
      <c r="B30" s="41"/>
      <c r="C30" s="64"/>
      <c r="D30" s="64"/>
      <c r="E30" s="64"/>
      <c r="F30" s="65"/>
      <c r="G30" s="66"/>
      <c r="H30" s="66"/>
      <c r="I30" s="32"/>
      <c r="J30" s="60"/>
      <c r="K30" s="60"/>
      <c r="L30" s="60"/>
      <c r="M30" s="60"/>
      <c r="N30" s="31"/>
      <c r="O30" s="60"/>
    </row>
    <row r="31" spans="1:15" ht="15.75" customHeight="1">
      <c r="A31" s="35"/>
      <c r="D31" s="64"/>
      <c r="E31" s="64"/>
      <c r="F31" s="65"/>
      <c r="G31" s="66"/>
      <c r="H31" s="66"/>
      <c r="I31" s="32"/>
      <c r="J31" s="60"/>
      <c r="K31" s="60"/>
      <c r="L31" s="60"/>
      <c r="M31" s="60"/>
      <c r="N31" s="31"/>
      <c r="O31" s="60"/>
    </row>
    <row r="32" spans="10:15" ht="12.75">
      <c r="J32" s="60"/>
      <c r="K32" s="60"/>
      <c r="L32" s="60"/>
      <c r="M32" s="60"/>
      <c r="N32" s="31"/>
      <c r="O32" s="60"/>
    </row>
    <row r="33" spans="10:15" ht="12.75">
      <c r="J33" s="60"/>
      <c r="K33" s="60"/>
      <c r="L33" s="60"/>
      <c r="M33" s="60"/>
      <c r="N33" s="31"/>
      <c r="O33" s="60"/>
    </row>
    <row r="34" spans="10:15" ht="12.75">
      <c r="J34" s="60"/>
      <c r="K34" s="60"/>
      <c r="L34" s="60"/>
      <c r="M34" s="60"/>
      <c r="N34" s="31"/>
      <c r="O34" s="60"/>
    </row>
    <row r="35" spans="10:15" ht="12.75">
      <c r="J35" s="60"/>
      <c r="K35" s="60"/>
      <c r="L35" s="60"/>
      <c r="M35" s="60"/>
      <c r="N35" s="31"/>
      <c r="O35" s="60"/>
    </row>
    <row r="36" spans="10:15" ht="12.75">
      <c r="J36" s="60"/>
      <c r="K36" s="60"/>
      <c r="L36" s="60"/>
      <c r="M36" s="60"/>
      <c r="N36" s="31"/>
      <c r="O36" s="60"/>
    </row>
    <row r="37" spans="10:15" ht="12.75">
      <c r="J37" s="60"/>
      <c r="K37" s="60"/>
      <c r="L37" s="60"/>
      <c r="M37" s="60"/>
      <c r="N37" s="31"/>
      <c r="O37" s="60"/>
    </row>
    <row r="38" spans="10:15" ht="12.75">
      <c r="J38" s="60"/>
      <c r="K38" s="60"/>
      <c r="L38" s="60"/>
      <c r="M38" s="60"/>
      <c r="N38" s="31"/>
      <c r="O38" s="60"/>
    </row>
    <row r="39" spans="10:15" ht="12.75">
      <c r="J39" s="60"/>
      <c r="K39" s="60"/>
      <c r="L39" s="60"/>
      <c r="M39" s="60"/>
      <c r="N39" s="31"/>
      <c r="O39" s="60"/>
    </row>
    <row r="40" spans="10:15" ht="12.75">
      <c r="J40" s="60"/>
      <c r="K40" s="60"/>
      <c r="L40" s="60"/>
      <c r="M40" s="60"/>
      <c r="N40" s="31"/>
      <c r="O40" s="60"/>
    </row>
  </sheetData>
  <sheetProtection/>
  <mergeCells count="10">
    <mergeCell ref="A6:N6"/>
    <mergeCell ref="A25:N25"/>
    <mergeCell ref="A1:O1"/>
    <mergeCell ref="A2:O2"/>
    <mergeCell ref="A3:O3"/>
    <mergeCell ref="B29:C29"/>
    <mergeCell ref="A10:N10"/>
    <mergeCell ref="A17:N17"/>
    <mergeCell ref="A20:N20"/>
    <mergeCell ref="A23:N23"/>
  </mergeCells>
  <printOptions/>
  <pageMargins left="0.5905511811023623" right="0.1968503937007874" top="0.3937007874015748" bottom="0.1968503937007874" header="0.5118110236220472" footer="0.5118110236220472"/>
  <pageSetup horizontalDpi="200" verticalDpi="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P31"/>
  <sheetViews>
    <sheetView zoomScaleSheetLayoutView="100" zoomScalePageLayoutView="0" workbookViewId="0" topLeftCell="A7">
      <selection activeCell="I7" sqref="I1:I16384"/>
    </sheetView>
  </sheetViews>
  <sheetFormatPr defaultColWidth="9.00390625" defaultRowHeight="15"/>
  <cols>
    <col min="1" max="1" width="3.7109375" style="29" customWidth="1"/>
    <col min="2" max="2" width="32.00390625" style="77" customWidth="1"/>
    <col min="3" max="8" width="7.7109375" style="29" customWidth="1"/>
    <col min="9" max="9" width="11.28125" style="29" customWidth="1"/>
    <col min="10" max="10" width="9.7109375" style="29" customWidth="1"/>
    <col min="11" max="11" width="8.28125" style="75" customWidth="1"/>
    <col min="12" max="12" width="8.28125" style="183" hidden="1" customWidth="1"/>
    <col min="13" max="13" width="8.28125" style="40" customWidth="1"/>
    <col min="14" max="16384" width="9.00390625" style="29" customWidth="1"/>
  </cols>
  <sheetData>
    <row r="1" spans="1:13" ht="15">
      <c r="A1" s="219" t="s">
        <v>117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5">
      <c r="A2" s="219" t="s">
        <v>97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</row>
    <row r="3" spans="1:16" ht="15.75" customHeight="1">
      <c r="A3" s="204" t="s">
        <v>208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91"/>
      <c r="O3" s="91"/>
      <c r="P3" s="91"/>
    </row>
    <row r="4" spans="1:16" ht="15.75" customHeight="1">
      <c r="A4" s="204" t="s">
        <v>209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91"/>
      <c r="O4" s="91"/>
      <c r="P4" s="91"/>
    </row>
    <row r="5" spans="1:16" ht="15.7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91"/>
      <c r="O5" s="91"/>
      <c r="P5" s="91"/>
    </row>
    <row r="6" spans="1:13" ht="15.75" customHeight="1">
      <c r="A6" s="220" t="s">
        <v>118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</row>
    <row r="7" spans="2:13" ht="17.25" customHeight="1">
      <c r="B7" s="207" t="s">
        <v>176</v>
      </c>
      <c r="C7" s="207"/>
      <c r="J7" s="203" t="s">
        <v>98</v>
      </c>
      <c r="K7" s="203"/>
      <c r="L7" s="203"/>
      <c r="M7" s="203"/>
    </row>
    <row r="8" spans="2:3" ht="17.25" customHeight="1" thickBot="1">
      <c r="B8" s="74"/>
      <c r="C8" s="74"/>
    </row>
    <row r="9" spans="1:13" ht="28.5" customHeight="1">
      <c r="A9" s="208" t="s">
        <v>119</v>
      </c>
      <c r="B9" s="210" t="s">
        <v>1</v>
      </c>
      <c r="C9" s="212" t="s">
        <v>120</v>
      </c>
      <c r="D9" s="212"/>
      <c r="E9" s="212"/>
      <c r="F9" s="212" t="s">
        <v>121</v>
      </c>
      <c r="G9" s="212"/>
      <c r="H9" s="116" t="s">
        <v>210</v>
      </c>
      <c r="I9" s="116" t="s">
        <v>211</v>
      </c>
      <c r="J9" s="116" t="s">
        <v>131</v>
      </c>
      <c r="K9" s="213" t="s">
        <v>122</v>
      </c>
      <c r="L9" s="215" t="s">
        <v>123</v>
      </c>
      <c r="M9" s="217" t="s">
        <v>107</v>
      </c>
    </row>
    <row r="10" spans="1:13" ht="16.5" thickBot="1">
      <c r="A10" s="209"/>
      <c r="B10" s="211"/>
      <c r="C10" s="165">
        <v>1</v>
      </c>
      <c r="D10" s="165">
        <v>2</v>
      </c>
      <c r="E10" s="165">
        <v>3</v>
      </c>
      <c r="F10" s="165">
        <v>1</v>
      </c>
      <c r="G10" s="165">
        <v>2</v>
      </c>
      <c r="H10" s="165">
        <v>1</v>
      </c>
      <c r="I10" s="165">
        <v>1</v>
      </c>
      <c r="J10" s="165" t="s">
        <v>220</v>
      </c>
      <c r="K10" s="214"/>
      <c r="L10" s="216"/>
      <c r="M10" s="218"/>
    </row>
    <row r="11" spans="1:13" ht="18.75" customHeight="1">
      <c r="A11" s="195">
        <v>1</v>
      </c>
      <c r="B11" s="196" t="s">
        <v>242</v>
      </c>
      <c r="C11" s="197">
        <f>VLOOKUP(L11,види!$P$7:$R$8,2,FALSE)</f>
        <v>105.75</v>
      </c>
      <c r="D11" s="197">
        <f>VLOOKUP(L11,види!$P$10:$R$12,2,FALSE)</f>
        <v>117.99999999999999</v>
      </c>
      <c r="E11" s="197">
        <f>VLOOKUP(L11,види!$P$14:$R$15,2,FALSE)</f>
        <v>142.79999999999998</v>
      </c>
      <c r="F11" s="197">
        <f>VLOOKUP($L11,види!$P$17:$R$20,2,FALSE)</f>
        <v>96.33333333333333</v>
      </c>
      <c r="G11" s="197">
        <f>VLOOKUP($L11,види!$P$22:$R$22,2,FALSE)</f>
        <v>125.6</v>
      </c>
      <c r="H11" s="197"/>
      <c r="I11" s="197"/>
      <c r="J11" s="197">
        <f>VLOOKUP($L11,види!$P$28:$R$28,2,FALSE)</f>
        <v>96</v>
      </c>
      <c r="K11" s="197">
        <f aca="true" t="shared" si="0" ref="K11:K17">SUM(C11:J11)</f>
        <v>684.4833333333332</v>
      </c>
      <c r="L11" s="198">
        <v>3</v>
      </c>
      <c r="M11" s="199" t="s">
        <v>133</v>
      </c>
    </row>
    <row r="12" spans="1:13" ht="18.75" customHeight="1">
      <c r="A12" s="103">
        <v>2</v>
      </c>
      <c r="B12" s="104" t="s">
        <v>243</v>
      </c>
      <c r="C12" s="105"/>
      <c r="D12" s="105"/>
      <c r="E12" s="105">
        <f>VLOOKUP(L12,види!$P$14:$R$15,2,FALSE)</f>
        <v>161.46666666666664</v>
      </c>
      <c r="F12" s="105"/>
      <c r="G12" s="105"/>
      <c r="H12" s="105">
        <f>VLOOKUP($L12,види!$P$24:$R$24,2,FALSE)</f>
        <v>102.5</v>
      </c>
      <c r="I12" s="105"/>
      <c r="J12" s="105"/>
      <c r="K12" s="105">
        <f t="shared" si="0"/>
        <v>263.96666666666664</v>
      </c>
      <c r="L12" s="184">
        <v>5</v>
      </c>
      <c r="M12" s="185" t="s">
        <v>239</v>
      </c>
    </row>
    <row r="13" spans="1:13" ht="18.75" customHeight="1">
      <c r="A13" s="103">
        <v>3</v>
      </c>
      <c r="B13" s="104" t="s">
        <v>244</v>
      </c>
      <c r="C13" s="105"/>
      <c r="D13" s="105">
        <f>VLOOKUP(L13,види!$P$10:$R$12,2,FALSE)</f>
        <v>120</v>
      </c>
      <c r="E13" s="105"/>
      <c r="F13" s="105">
        <f>VLOOKUP($L13,види!$P$17:$R$20,2,FALSE)</f>
        <v>95.33333333333333</v>
      </c>
      <c r="G13" s="105"/>
      <c r="H13" s="105"/>
      <c r="I13" s="105"/>
      <c r="J13" s="105"/>
      <c r="K13" s="105">
        <f t="shared" si="0"/>
        <v>215.33333333333331</v>
      </c>
      <c r="L13" s="184">
        <v>4</v>
      </c>
      <c r="M13" s="185" t="s">
        <v>240</v>
      </c>
    </row>
    <row r="14" spans="1:13" ht="18.75" customHeight="1">
      <c r="A14" s="103">
        <v>4</v>
      </c>
      <c r="B14" s="104" t="s">
        <v>245</v>
      </c>
      <c r="C14" s="105">
        <f>VLOOKUP(L14,види!$P$7:$R$8,2,FALSE)</f>
        <v>103.25</v>
      </c>
      <c r="D14" s="105"/>
      <c r="E14" s="105"/>
      <c r="F14" s="105">
        <f>VLOOKUP($L14,види!$P$17:$R$20,2,FALSE)</f>
        <v>102</v>
      </c>
      <c r="G14" s="105"/>
      <c r="H14" s="105"/>
      <c r="I14" s="105"/>
      <c r="J14" s="105"/>
      <c r="K14" s="105">
        <f t="shared" si="0"/>
        <v>205.25</v>
      </c>
      <c r="L14" s="184">
        <v>7</v>
      </c>
      <c r="M14" s="185">
        <v>4</v>
      </c>
    </row>
    <row r="15" spans="1:13" ht="18.75" customHeight="1">
      <c r="A15" s="103">
        <v>5</v>
      </c>
      <c r="B15" s="104" t="s">
        <v>246</v>
      </c>
      <c r="C15" s="105"/>
      <c r="D15" s="105">
        <f>VLOOKUP(L15,види!$P$10:$R$12,2,FALSE)</f>
        <v>122.39999999999999</v>
      </c>
      <c r="E15" s="105"/>
      <c r="F15" s="105"/>
      <c r="G15" s="105"/>
      <c r="H15" s="105"/>
      <c r="I15" s="105"/>
      <c r="J15" s="105"/>
      <c r="K15" s="105">
        <f t="shared" si="0"/>
        <v>122.39999999999999</v>
      </c>
      <c r="L15" s="184">
        <v>6</v>
      </c>
      <c r="M15" s="185">
        <v>5</v>
      </c>
    </row>
    <row r="16" spans="1:13" ht="18.75" customHeight="1">
      <c r="A16" s="103">
        <v>6</v>
      </c>
      <c r="B16" s="104" t="s">
        <v>247</v>
      </c>
      <c r="C16" s="105"/>
      <c r="D16" s="105"/>
      <c r="E16" s="105"/>
      <c r="F16" s="105"/>
      <c r="G16" s="105"/>
      <c r="H16" s="105"/>
      <c r="I16" s="105">
        <f>VLOOKUP(L16,види!P26:R26,2,FALSE)</f>
        <v>99</v>
      </c>
      <c r="J16" s="105"/>
      <c r="K16" s="105">
        <f t="shared" si="0"/>
        <v>99</v>
      </c>
      <c r="L16" s="184">
        <v>1</v>
      </c>
      <c r="M16" s="185">
        <v>6</v>
      </c>
    </row>
    <row r="17" spans="1:13" ht="18.75" customHeight="1" thickBot="1">
      <c r="A17" s="117">
        <v>7</v>
      </c>
      <c r="B17" s="106" t="s">
        <v>248</v>
      </c>
      <c r="C17" s="107"/>
      <c r="D17" s="107"/>
      <c r="E17" s="107"/>
      <c r="F17" s="107">
        <f>VLOOKUP($L17,види!$P$17:$R$20,2,FALSE)</f>
        <v>89.33333333333333</v>
      </c>
      <c r="G17" s="107"/>
      <c r="H17" s="107"/>
      <c r="I17" s="107"/>
      <c r="J17" s="107"/>
      <c r="K17" s="107">
        <f t="shared" si="0"/>
        <v>89.33333333333333</v>
      </c>
      <c r="L17" s="186">
        <v>2</v>
      </c>
      <c r="M17" s="187">
        <v>7</v>
      </c>
    </row>
    <row r="18" spans="1:13" ht="19.5" customHeight="1">
      <c r="A18" s="98"/>
      <c r="B18" s="108"/>
      <c r="C18" s="109"/>
      <c r="D18" s="109"/>
      <c r="E18" s="109"/>
      <c r="F18" s="109"/>
      <c r="G18" s="109"/>
      <c r="H18" s="109"/>
      <c r="I18" s="109"/>
      <c r="J18" s="109"/>
      <c r="K18" s="109"/>
      <c r="L18" s="146"/>
      <c r="M18" s="98"/>
    </row>
    <row r="19" spans="1:13" ht="18.75">
      <c r="A19" s="79"/>
      <c r="B19" s="78" t="s">
        <v>109</v>
      </c>
      <c r="C19" s="79"/>
      <c r="D19" s="79"/>
      <c r="E19" s="79"/>
      <c r="F19" s="79" t="s">
        <v>110</v>
      </c>
      <c r="G19" s="79"/>
      <c r="H19" s="79"/>
      <c r="I19" s="79"/>
      <c r="J19" s="79"/>
      <c r="K19" s="110"/>
      <c r="L19" s="188"/>
      <c r="M19" s="80" t="s">
        <v>207</v>
      </c>
    </row>
    <row r="20" spans="1:13" ht="10.5" customHeight="1">
      <c r="A20" s="79"/>
      <c r="B20" s="78"/>
      <c r="C20" s="79"/>
      <c r="D20" s="79"/>
      <c r="E20" s="79"/>
      <c r="F20" s="79"/>
      <c r="G20" s="79"/>
      <c r="H20" s="79"/>
      <c r="I20" s="79"/>
      <c r="J20" s="79"/>
      <c r="K20" s="110"/>
      <c r="L20" s="188"/>
      <c r="M20" s="80"/>
    </row>
    <row r="21" spans="2:13" s="79" customFormat="1" ht="17.25" customHeight="1">
      <c r="B21" s="206" t="s">
        <v>111</v>
      </c>
      <c r="C21" s="206"/>
      <c r="F21" s="79" t="s">
        <v>241</v>
      </c>
      <c r="K21" s="110"/>
      <c r="L21" s="188"/>
      <c r="M21" s="80"/>
    </row>
    <row r="22" spans="3:10" ht="15.75">
      <c r="C22" s="73"/>
      <c r="D22" s="73"/>
      <c r="E22" s="73"/>
      <c r="F22" s="73"/>
      <c r="G22" s="73"/>
      <c r="H22" s="73"/>
      <c r="I22" s="73"/>
      <c r="J22" s="73"/>
    </row>
    <row r="23" spans="3:10" ht="15.75">
      <c r="C23" s="73"/>
      <c r="D23" s="73"/>
      <c r="E23" s="73"/>
      <c r="F23" s="73"/>
      <c r="G23" s="73"/>
      <c r="H23" s="73"/>
      <c r="I23" s="73"/>
      <c r="J23" s="73"/>
    </row>
    <row r="24" spans="3:10" ht="15.75">
      <c r="C24" s="73"/>
      <c r="D24" s="73"/>
      <c r="E24" s="73"/>
      <c r="F24" s="73"/>
      <c r="G24" s="73"/>
      <c r="H24" s="73"/>
      <c r="I24" s="73"/>
      <c r="J24" s="73"/>
    </row>
    <row r="25" spans="3:10" ht="15.75">
      <c r="C25" s="73"/>
      <c r="D25" s="73"/>
      <c r="E25" s="73"/>
      <c r="F25" s="73"/>
      <c r="G25" s="73"/>
      <c r="H25" s="73"/>
      <c r="I25" s="73"/>
      <c r="J25" s="73"/>
    </row>
    <row r="26" spans="3:10" ht="15.75">
      <c r="C26" s="73"/>
      <c r="D26" s="73"/>
      <c r="E26" s="73"/>
      <c r="F26" s="73"/>
      <c r="G26" s="73"/>
      <c r="H26" s="73"/>
      <c r="I26" s="73"/>
      <c r="J26" s="73"/>
    </row>
    <row r="27" spans="3:10" ht="15.75">
      <c r="C27" s="73"/>
      <c r="D27" s="73"/>
      <c r="E27" s="73"/>
      <c r="F27" s="73"/>
      <c r="G27" s="73"/>
      <c r="H27" s="73"/>
      <c r="I27" s="73"/>
      <c r="J27" s="73"/>
    </row>
    <row r="28" spans="3:10" ht="15.75">
      <c r="C28" s="73"/>
      <c r="D28" s="73"/>
      <c r="E28" s="73"/>
      <c r="F28" s="73"/>
      <c r="G28" s="73"/>
      <c r="H28" s="73"/>
      <c r="I28" s="73"/>
      <c r="J28" s="73"/>
    </row>
    <row r="29" spans="3:10" ht="15.75">
      <c r="C29" s="73"/>
      <c r="D29" s="73"/>
      <c r="E29" s="73"/>
      <c r="F29" s="73"/>
      <c r="G29" s="73"/>
      <c r="H29" s="73"/>
      <c r="I29" s="73"/>
      <c r="J29" s="73"/>
    </row>
    <row r="30" spans="3:10" ht="15.75">
      <c r="C30" s="73"/>
      <c r="D30" s="73"/>
      <c r="E30" s="73"/>
      <c r="F30" s="73"/>
      <c r="G30" s="73"/>
      <c r="H30" s="73"/>
      <c r="I30" s="73"/>
      <c r="J30" s="73"/>
    </row>
    <row r="31" spans="3:10" ht="15.75">
      <c r="C31" s="73"/>
      <c r="D31" s="73"/>
      <c r="E31" s="73"/>
      <c r="F31" s="73"/>
      <c r="G31" s="73"/>
      <c r="H31" s="73"/>
      <c r="I31" s="73"/>
      <c r="J31" s="73"/>
    </row>
  </sheetData>
  <sheetProtection/>
  <mergeCells count="15">
    <mergeCell ref="A4:M4"/>
    <mergeCell ref="A1:M1"/>
    <mergeCell ref="A2:M2"/>
    <mergeCell ref="A3:M3"/>
    <mergeCell ref="A6:M6"/>
    <mergeCell ref="B21:C21"/>
    <mergeCell ref="B7:C7"/>
    <mergeCell ref="J7:M7"/>
    <mergeCell ref="A9:A10"/>
    <mergeCell ref="B9:B10"/>
    <mergeCell ref="C9:E9"/>
    <mergeCell ref="F9:G9"/>
    <mergeCell ref="K9:K10"/>
    <mergeCell ref="L9:L10"/>
    <mergeCell ref="M9:M10"/>
  </mergeCells>
  <printOptions/>
  <pageMargins left="1.1811023622047245" right="0.61" top="0.73" bottom="1.1811023622047245" header="0.5118110236220472" footer="0.5118110236220472"/>
  <pageSetup horizontalDpi="200" verticalDpi="200" orientation="landscape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X113"/>
  <sheetViews>
    <sheetView zoomScaleSheetLayoutView="70" zoomScalePageLayoutView="0" workbookViewId="0" topLeftCell="A1">
      <selection activeCell="A2" sqref="A2:IV3"/>
    </sheetView>
  </sheetViews>
  <sheetFormatPr defaultColWidth="9.00390625" defaultRowHeight="15"/>
  <cols>
    <col min="1" max="1" width="5.421875" style="40" customWidth="1"/>
    <col min="2" max="2" width="18.7109375" style="11" customWidth="1"/>
    <col min="3" max="3" width="35.28125" style="11" customWidth="1"/>
    <col min="4" max="4" width="23.28125" style="40" customWidth="1"/>
    <col min="5" max="5" width="12.57421875" style="40" hidden="1" customWidth="1"/>
    <col min="6" max="6" width="18.8515625" style="40" customWidth="1"/>
    <col min="7" max="7" width="4.57421875" style="42" customWidth="1"/>
    <col min="8" max="11" width="4.421875" style="11" customWidth="1"/>
    <col min="12" max="12" width="5.8515625" style="11" customWidth="1"/>
    <col min="13" max="13" width="4.00390625" style="11" customWidth="1"/>
    <col min="14" max="14" width="3.57421875" style="40" customWidth="1"/>
    <col min="15" max="15" width="6.140625" style="40" customWidth="1"/>
    <col min="16" max="16" width="4.421875" style="40" hidden="1" customWidth="1"/>
    <col min="17" max="17" width="6.28125" style="40" hidden="1" customWidth="1"/>
    <col min="18" max="18" width="5.8515625" style="40" customWidth="1"/>
    <col min="19" max="19" width="5.421875" style="40" customWidth="1"/>
    <col min="20" max="20" width="5.28125" style="29" customWidth="1"/>
    <col min="21" max="21" width="9.00390625" style="28" customWidth="1"/>
    <col min="22" max="27" width="9.00390625" style="29" customWidth="1"/>
    <col min="28" max="28" width="15.57421875" style="29" customWidth="1"/>
    <col min="29" max="16384" width="9.00390625" style="29" customWidth="1"/>
  </cols>
  <sheetData>
    <row r="1" spans="1:20" ht="21.75" customHeight="1">
      <c r="A1" s="203" t="s">
        <v>97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7"/>
    </row>
    <row r="2" spans="1:24" ht="18" customHeight="1">
      <c r="A2" s="204" t="s">
        <v>202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30"/>
      <c r="U2" s="30"/>
      <c r="V2" s="30"/>
      <c r="W2" s="28"/>
      <c r="X2" s="28"/>
    </row>
    <row r="3" spans="1:24" ht="18" customHeight="1">
      <c r="A3" s="221" t="s">
        <v>135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30"/>
      <c r="U3" s="30"/>
      <c r="V3" s="30"/>
      <c r="W3" s="28"/>
      <c r="X3" s="28"/>
    </row>
    <row r="4" spans="1:24" ht="21.75" customHeight="1" thickBot="1">
      <c r="A4" s="80"/>
      <c r="B4" s="222" t="s">
        <v>175</v>
      </c>
      <c r="C4" s="222"/>
      <c r="D4" s="80"/>
      <c r="E4" s="80"/>
      <c r="F4" s="80"/>
      <c r="G4" s="82"/>
      <c r="H4" s="82" t="s">
        <v>98</v>
      </c>
      <c r="I4" s="82"/>
      <c r="J4" s="82"/>
      <c r="K4" s="82"/>
      <c r="L4" s="82"/>
      <c r="M4" s="82"/>
      <c r="N4" s="80"/>
      <c r="O4" s="82"/>
      <c r="P4" s="80"/>
      <c r="Q4" s="80"/>
      <c r="R4" s="80"/>
      <c r="S4" s="82"/>
      <c r="T4" s="28"/>
      <c r="V4" s="28"/>
      <c r="W4" s="28"/>
      <c r="X4" s="28"/>
    </row>
    <row r="5" spans="1:24" s="11" customFormat="1" ht="71.25" customHeight="1" thickBot="1">
      <c r="A5" s="147" t="s">
        <v>99</v>
      </c>
      <c r="B5" s="148" t="s">
        <v>1</v>
      </c>
      <c r="C5" s="149" t="s">
        <v>2</v>
      </c>
      <c r="D5" s="149" t="s">
        <v>3</v>
      </c>
      <c r="E5" s="150" t="s">
        <v>4</v>
      </c>
      <c r="F5" s="149" t="s">
        <v>100</v>
      </c>
      <c r="G5" s="151" t="s">
        <v>101</v>
      </c>
      <c r="H5" s="151" t="s">
        <v>102</v>
      </c>
      <c r="I5" s="151" t="s">
        <v>103</v>
      </c>
      <c r="J5" s="151" t="s">
        <v>104</v>
      </c>
      <c r="K5" s="151" t="s">
        <v>105</v>
      </c>
      <c r="L5" s="151" t="s">
        <v>8</v>
      </c>
      <c r="M5" s="152" t="s">
        <v>9</v>
      </c>
      <c r="N5" s="152" t="s">
        <v>10</v>
      </c>
      <c r="O5" s="151" t="s">
        <v>11</v>
      </c>
      <c r="P5" s="151" t="s">
        <v>106</v>
      </c>
      <c r="Q5" s="151"/>
      <c r="R5" s="153" t="s">
        <v>132</v>
      </c>
      <c r="S5" s="154" t="s">
        <v>107</v>
      </c>
      <c r="T5" s="31"/>
      <c r="U5" s="32"/>
      <c r="V5" s="31"/>
      <c r="W5" s="31"/>
      <c r="X5" s="31"/>
    </row>
    <row r="6" spans="1:22" ht="18" customHeight="1" thickBot="1">
      <c r="A6" s="33" t="s">
        <v>212</v>
      </c>
      <c r="B6" s="155"/>
      <c r="C6" s="156"/>
      <c r="D6" s="38"/>
      <c r="E6" s="38"/>
      <c r="F6" s="38"/>
      <c r="G6" s="157">
        <f>SUM(G7:G8)</f>
        <v>18</v>
      </c>
      <c r="H6" s="38"/>
      <c r="I6" s="38"/>
      <c r="J6" s="38"/>
      <c r="K6" s="38"/>
      <c r="L6" s="158"/>
      <c r="M6" s="38"/>
      <c r="N6" s="38"/>
      <c r="O6" s="39"/>
      <c r="P6" s="35"/>
      <c r="Q6" s="35"/>
      <c r="R6" s="34"/>
      <c r="S6" s="35" t="s">
        <v>107</v>
      </c>
      <c r="T6" s="28"/>
      <c r="V6" s="36"/>
    </row>
    <row r="7" spans="1:22" ht="39.75" customHeight="1">
      <c r="A7" s="159" t="s">
        <v>188</v>
      </c>
      <c r="B7" s="160" t="str">
        <f>VLOOKUP($A7,реєстрація!$A:$Z,2,FALSE)</f>
        <v>Запорізька</v>
      </c>
      <c r="C7" s="160" t="str">
        <f>VLOOKUP($A7,реєстрація!$A$1:$D$16,3,FALSE)</f>
        <v>КЗ "Центр туризму" ЗОР Приморський відділ</v>
      </c>
      <c r="D7" s="116" t="str">
        <f>VLOOKUP($A7,реєстрація!$A$1:$D$16,4,FALSE)</f>
        <v>Микалюк Світлана Миколаївна</v>
      </c>
      <c r="E7" s="161" t="str">
        <f>VLOOKUP($A7,реєстрація!$A$1:$DJ$16,5,FALSE)</f>
        <v>пішохідний </v>
      </c>
      <c r="F7" s="116" t="str">
        <f>VLOOKUP($A7,реєстрація!$A$1:$DJ$16,7,FALSE)</f>
        <v>Болгарія</v>
      </c>
      <c r="G7" s="116">
        <f>VLOOKUP($A7,реєстрація!$A$1:$DJ$16,8,FALSE)</f>
        <v>8</v>
      </c>
      <c r="H7" s="116">
        <f>VLOOKUP($A7,'розг. оцінка'!$CF:$CX,4,FALSE)</f>
        <v>92</v>
      </c>
      <c r="I7" s="116">
        <f>VLOOKUP($A7,'розг. оцінка'!$CF:$CX,5,FALSE)</f>
        <v>112</v>
      </c>
      <c r="J7" s="116">
        <f>VLOOKUP($A7,'розг. оцінка'!$CF:$CX,6,FALSE)</f>
        <v>104</v>
      </c>
      <c r="K7" s="116">
        <f>VLOOKUP($A7,'розг. оцінка'!$CF:$CX,7,FALSE)</f>
        <v>103</v>
      </c>
      <c r="L7" s="162">
        <f>SUM(H7:K7)/4</f>
        <v>102.75</v>
      </c>
      <c r="M7" s="116">
        <f>VLOOKUP($A7,реєстрація!$A$1:$DJ$16,10,FALSE)</f>
        <v>3</v>
      </c>
      <c r="N7" s="116">
        <v>1</v>
      </c>
      <c r="O7" s="178">
        <f>(L7+M7)*N7</f>
        <v>105.75</v>
      </c>
      <c r="P7" s="130">
        <f>IF(B7="Запорізька",3,IF(B7="Хмельницька",7,IF(B7="Кіровоградська",4,IF(B7="Миколаївська",5,IF(B7=Дніпропетровська,1)))))</f>
        <v>3</v>
      </c>
      <c r="Q7" s="162">
        <f>O7</f>
        <v>105.75</v>
      </c>
      <c r="R7" s="162">
        <f>SUM(L7,M7)</f>
        <v>105.75</v>
      </c>
      <c r="S7" s="131" t="s">
        <v>133</v>
      </c>
      <c r="V7" s="36"/>
    </row>
    <row r="8" spans="1:22" ht="39.75" customHeight="1" thickBot="1">
      <c r="A8" s="163" t="s">
        <v>182</v>
      </c>
      <c r="B8" s="164" t="str">
        <f>VLOOKUP($A8,реєстрація!$A:$Z,2,FALSE)</f>
        <v>Хмельницька</v>
      </c>
      <c r="C8" s="164" t="str">
        <f>VLOOKUP($A8,реєстрація!$A$1:$D$16,3,FALSE)</f>
        <v>Центр дитячої та юнацької творчості Хмельницького району</v>
      </c>
      <c r="D8" s="165" t="str">
        <f>VLOOKUP($A8,реєстрація!$A$1:$D$16,4,FALSE)</f>
        <v>Мельник Інна Віталіївна</v>
      </c>
      <c r="E8" s="166" t="str">
        <f>VLOOKUP($A8,реєстрація!$A$1:$DJ$16,5,FALSE)</f>
        <v>пішохідний </v>
      </c>
      <c r="F8" s="165" t="str">
        <f>VLOOKUP($A8,реєстрація!$A$1:$DJ$16,7,FALSE)</f>
        <v>Карпати</v>
      </c>
      <c r="G8" s="165">
        <f>VLOOKUP($A8,реєстрація!$A$1:$DJ$16,8,FALSE)</f>
        <v>10</v>
      </c>
      <c r="H8" s="165">
        <f>VLOOKUP($A8,'розг. оцінка'!$CF:$CX,4,FALSE)</f>
        <v>103</v>
      </c>
      <c r="I8" s="165">
        <f>VLOOKUP($A8,'розг. оцінка'!$CF:$CX,5,FALSE)</f>
        <v>99</v>
      </c>
      <c r="J8" s="165">
        <f>VLOOKUP($A8,'розг. оцінка'!$CF:$CX,6,FALSE)</f>
        <v>116</v>
      </c>
      <c r="K8" s="165">
        <f>VLOOKUP($A8,'розг. оцінка'!$CF:$CX,7,FALSE)</f>
        <v>83</v>
      </c>
      <c r="L8" s="168">
        <f>SUM(H8:K8)/4</f>
        <v>100.25</v>
      </c>
      <c r="M8" s="167">
        <f>VLOOKUP($A8,реєстрація!$A:$Z,10,FALSE)</f>
        <v>3</v>
      </c>
      <c r="N8" s="165">
        <v>1</v>
      </c>
      <c r="O8" s="180">
        <f>(L8+M8)*N8</f>
        <v>103.25</v>
      </c>
      <c r="P8" s="167">
        <f>IF(B8="Запорізька",3,IF(B8="Хмельницька",7,IF(B8="Кіровоградська",4,IF(B8="Миколаївська",5,IF(B8="Дніпропетровська",1,IF(B8="Закарпатська",2,IF(B8="Сумська",6)))))))</f>
        <v>7</v>
      </c>
      <c r="Q8" s="168">
        <f>O8</f>
        <v>103.25</v>
      </c>
      <c r="R8" s="168">
        <f>SUM(L8,M8)</f>
        <v>103.25</v>
      </c>
      <c r="S8" s="169" t="s">
        <v>239</v>
      </c>
      <c r="V8" s="36"/>
    </row>
    <row r="9" spans="1:22" ht="18" customHeight="1" thickBot="1">
      <c r="A9" s="33" t="s">
        <v>213</v>
      </c>
      <c r="B9" s="155"/>
      <c r="C9" s="156"/>
      <c r="D9" s="38"/>
      <c r="E9" s="61"/>
      <c r="F9" s="38"/>
      <c r="G9" s="157">
        <f>SUM(G10:G12)</f>
        <v>21</v>
      </c>
      <c r="H9" s="38"/>
      <c r="I9" s="38"/>
      <c r="J9" s="38"/>
      <c r="K9" s="38"/>
      <c r="L9" s="158"/>
      <c r="M9" s="38"/>
      <c r="N9" s="38"/>
      <c r="O9" s="39"/>
      <c r="P9" s="35"/>
      <c r="Q9" s="35"/>
      <c r="R9" s="34"/>
      <c r="S9" s="35" t="s">
        <v>107</v>
      </c>
      <c r="V9" s="36"/>
    </row>
    <row r="10" spans="1:22" ht="50.25" customHeight="1">
      <c r="A10" s="159" t="s">
        <v>181</v>
      </c>
      <c r="B10" s="160" t="str">
        <f>VLOOKUP($A10,реєстрація!$A$1:$D$16,2,FALSE)</f>
        <v>Сумська</v>
      </c>
      <c r="C10" s="160" t="str">
        <f>VLOOKUP($A10,реєстрація!$A$1:$D$16,3,FALSE)</f>
        <v>КЗ "Обласний центр позашкільної освіти та роботи з талановитою молоддю "</v>
      </c>
      <c r="D10" s="116" t="str">
        <f>VLOOKUP($A10,реєстрація!$A$1:$D$16,4,FALSE)</f>
        <v>Бацман Жанна Григорівна</v>
      </c>
      <c r="E10" s="161" t="str">
        <f>VLOOKUP($A10,реєстрація!$A$1:$DJ$16,5,FALSE)</f>
        <v>пішохідний </v>
      </c>
      <c r="F10" s="116" t="str">
        <f>VLOOKUP($A10,реєстрація!$A$1:$DJ$16,7,FALSE)</f>
        <v>Карпати</v>
      </c>
      <c r="G10" s="116">
        <f>VLOOKUP($A10,реєстрація!$A$1:$DJ$16,8,FALSE)</f>
        <v>9</v>
      </c>
      <c r="H10" s="116">
        <f>VLOOKUP($A10,'розг. оцінка'!$CF:$CX,4,FALSE)</f>
        <v>94</v>
      </c>
      <c r="I10" s="116">
        <f>VLOOKUP($A10,'розг. оцінка'!$CF:$CX,5,FALSE)</f>
        <v>99</v>
      </c>
      <c r="J10" s="116">
        <f>VLOOKUP($A10,'розг. оцінка'!$CF:$CX,6,FALSE)</f>
        <v>104</v>
      </c>
      <c r="K10" s="116">
        <f>VLOOKUP($A10,'розг. оцінка'!$CF:$CX,7,FALSE)</f>
        <v>0</v>
      </c>
      <c r="L10" s="162">
        <f>SUM(H10:K10)/3</f>
        <v>99</v>
      </c>
      <c r="M10" s="116">
        <f>VLOOKUP($A7,реєстрація!$A$1:$DJ$16,10,FALSE)</f>
        <v>3</v>
      </c>
      <c r="N10" s="178">
        <v>1.2</v>
      </c>
      <c r="O10" s="178">
        <f>(L10+M10)*N10</f>
        <v>122.39999999999999</v>
      </c>
      <c r="P10" s="130">
        <f>IF(B10="Запорізька",3,IF(B10="Хмельницька",7,IF(B10="Кіровоградська",4,IF(B10="Миколаївська",5,IF(B10="Дніпропетровська",1,IF(B10="Закарпатська",2,IF(B10="Сумська",6)))))))</f>
        <v>6</v>
      </c>
      <c r="Q10" s="162">
        <f>O10</f>
        <v>122.39999999999999</v>
      </c>
      <c r="R10" s="162">
        <f>SUM(L10,M10)</f>
        <v>102</v>
      </c>
      <c r="S10" s="131" t="s">
        <v>133</v>
      </c>
      <c r="V10" s="36"/>
    </row>
    <row r="11" spans="1:22" ht="45" customHeight="1">
      <c r="A11" s="179" t="s">
        <v>179</v>
      </c>
      <c r="B11" s="113" t="str">
        <f>VLOOKUP($A11,реєстрація!$A$1:$D$16,2,FALSE)</f>
        <v>Кіровоградська</v>
      </c>
      <c r="C11" s="113" t="str">
        <f>VLOOKUP($A11,реєстрація!$A$1:$D$16,3,FALSE)</f>
        <v>Кіровоградський державний педагогічний університет ім.В.Вінниченка</v>
      </c>
      <c r="D11" s="76" t="str">
        <f>VLOOKUP($A11,реєстрація!$A$1:$D$16,4,FALSE)</f>
        <v>Кумпан Анатолій Анатолійович</v>
      </c>
      <c r="E11" s="72" t="str">
        <f>VLOOKUP($A11,реєстрація!$A$1:$DJ$16,5,FALSE)</f>
        <v>пішохідний </v>
      </c>
      <c r="F11" s="76" t="str">
        <f>VLOOKUP($A11,реєстрація!$A$1:$DJ$16,7,FALSE)</f>
        <v>Карпати</v>
      </c>
      <c r="G11" s="76">
        <f>VLOOKUP($A11,реєстрація!$A$1:$DJ$16,8,FALSE)</f>
        <v>6</v>
      </c>
      <c r="H11" s="76">
        <f>VLOOKUP($A11,'розг. оцінка'!$CF:$CX,4,FALSE)</f>
        <v>83</v>
      </c>
      <c r="I11" s="76">
        <f>VLOOKUP($A11,'розг. оцінка'!$CF:$CX,5,FALSE)</f>
        <v>101</v>
      </c>
      <c r="J11" s="76">
        <f>VLOOKUP($A11,'розг. оцінка'!$CF:$CX,6,FALSE)</f>
        <v>107</v>
      </c>
      <c r="K11" s="76">
        <f>VLOOKUP($A11,'розг. оцінка'!$CF:$CX,7,FALSE)</f>
        <v>0</v>
      </c>
      <c r="L11" s="114">
        <f>SUM(H11:K11)/3</f>
        <v>97</v>
      </c>
      <c r="M11" s="76">
        <f>VLOOKUP($A8,реєстрація!$A$1:$DJ$16,10,FALSE)</f>
        <v>3</v>
      </c>
      <c r="N11" s="115">
        <v>1.2</v>
      </c>
      <c r="O11" s="115">
        <f>(L11+M11)*N11</f>
        <v>120</v>
      </c>
      <c r="P11" s="26">
        <f>IF(B11="Запорізька",3,IF(B11="Хмельницька",7,IF(B11="Кіровоградська",4,IF(B11="Миколаївська",5,IF(B11="Дніпропетровська",1,IF(B11="Закарпатська",2,IF(B11="Сумська",6)))))))</f>
        <v>4</v>
      </c>
      <c r="Q11" s="114">
        <f>O11</f>
        <v>120</v>
      </c>
      <c r="R11" s="114">
        <f>SUM(L11,M11)</f>
        <v>100</v>
      </c>
      <c r="S11" s="132" t="s">
        <v>239</v>
      </c>
      <c r="V11" s="36"/>
    </row>
    <row r="12" spans="1:22" ht="39.75" customHeight="1" thickBot="1">
      <c r="A12" s="163" t="s">
        <v>190</v>
      </c>
      <c r="B12" s="164" t="str">
        <f>VLOOKUP($A12,реєстрація!$A$1:$D$16,2,FALSE)</f>
        <v>Запорізька</v>
      </c>
      <c r="C12" s="164" t="str">
        <f>VLOOKUP($A12,реєстрація!$A$1:$D$16,3,FALSE)</f>
        <v>Запорізький національний університет</v>
      </c>
      <c r="D12" s="165" t="str">
        <f>VLOOKUP($A12,реєстрація!$A$1:$D$16,4,FALSE)</f>
        <v>Пиптюк Павло Федорович</v>
      </c>
      <c r="E12" s="166" t="str">
        <f>VLOOKUP($A12,реєстрація!$A$1:$DJ$16,5,FALSE)</f>
        <v>пішохідний </v>
      </c>
      <c r="F12" s="165" t="str">
        <f>VLOOKUP($A12,реєстрація!$A$1:$DJ$16,7,FALSE)</f>
        <v>Карпати</v>
      </c>
      <c r="G12" s="165">
        <f>VLOOKUP($A12,реєстрація!$A$1:$DJ$16,8,FALSE)</f>
        <v>6</v>
      </c>
      <c r="H12" s="165">
        <f>VLOOKUP($A12,'розг. оцінка'!$CF:$CX,4,FALSE)</f>
        <v>89</v>
      </c>
      <c r="I12" s="165">
        <f>VLOOKUP($A12,'розг. оцінка'!$CF:$CX,5,FALSE)</f>
        <v>99</v>
      </c>
      <c r="J12" s="165">
        <f>VLOOKUP($A12,'розг. оцінка'!$CF:$CX,6,FALSE)</f>
        <v>98</v>
      </c>
      <c r="K12" s="165">
        <f>VLOOKUP($A12,'розг. оцінка'!$CF:$CX,7,FALSE)</f>
        <v>0</v>
      </c>
      <c r="L12" s="168">
        <f>SUM(H12:K12)/3</f>
        <v>95.33333333333333</v>
      </c>
      <c r="M12" s="165">
        <v>3</v>
      </c>
      <c r="N12" s="180">
        <v>1.2</v>
      </c>
      <c r="O12" s="180">
        <f>(L12+M12)*N12</f>
        <v>117.99999999999999</v>
      </c>
      <c r="P12" s="167">
        <f>IF(B12="Запорізька",3,IF(B12="Хмельницька",7,IF(B12="Кіровоградська",4,IF(B12="Миколаївська",5,IF(B12="Дніпропетровська",1,IF(B12="Закарпатська",2,IF(B12="Сумська",6)))))))</f>
        <v>3</v>
      </c>
      <c r="Q12" s="168">
        <f>O12</f>
        <v>117.99999999999999</v>
      </c>
      <c r="R12" s="168">
        <f>SUM(L12,M12)</f>
        <v>98.33333333333333</v>
      </c>
      <c r="S12" s="169" t="s">
        <v>240</v>
      </c>
      <c r="V12" s="36"/>
    </row>
    <row r="13" spans="1:22" ht="17.25" customHeight="1" thickBot="1">
      <c r="A13" s="33" t="s">
        <v>216</v>
      </c>
      <c r="B13" s="155"/>
      <c r="C13" s="156"/>
      <c r="D13" s="38"/>
      <c r="E13" s="61"/>
      <c r="F13" s="38"/>
      <c r="G13" s="157">
        <f>SUM(G14:G15)</f>
        <v>12</v>
      </c>
      <c r="H13" s="38"/>
      <c r="I13" s="38"/>
      <c r="J13" s="38"/>
      <c r="K13" s="38"/>
      <c r="L13" s="158"/>
      <c r="M13" s="38"/>
      <c r="N13" s="38"/>
      <c r="O13" s="39"/>
      <c r="P13" s="35"/>
      <c r="Q13" s="35"/>
      <c r="R13" s="34"/>
      <c r="S13" s="35" t="s">
        <v>107</v>
      </c>
      <c r="V13" s="36"/>
    </row>
    <row r="14" spans="1:22" ht="30.75" customHeight="1">
      <c r="A14" s="159" t="s">
        <v>184</v>
      </c>
      <c r="B14" s="160" t="str">
        <f>VLOOKUP($A14,реєстрація!$A$1:$D$16,2,FALSE)</f>
        <v>Миколаївська</v>
      </c>
      <c r="C14" s="160" t="str">
        <f>VLOOKUP($A14,реєстрація!$A$1:$D$16,3,FALSE)</f>
        <v>Центр туризму,краєзнавства та екскурсій учнівської молоді</v>
      </c>
      <c r="D14" s="116" t="str">
        <f>VLOOKUP($A14,реєстрація!$A$1:$D$16,4,FALSE)</f>
        <v>Овсяннікова Олена Вікторівна</v>
      </c>
      <c r="E14" s="161" t="str">
        <f>VLOOKUP($A14,реєстрація!$A$1:$DJ$16,5,FALSE)</f>
        <v>пішохідний </v>
      </c>
      <c r="F14" s="116" t="str">
        <f>VLOOKUP($A14,реєстрація!$A$1:$DJ$16,7,FALSE)</f>
        <v>Карпати</v>
      </c>
      <c r="G14" s="116">
        <f>VLOOKUP($A14,реєстрація!$A$1:$DJ$16,8,FALSE)</f>
        <v>6</v>
      </c>
      <c r="H14" s="116">
        <f>VLOOKUP($A14,'розг. оцінка'!$CF:$CX,4,FALSE)</f>
        <v>117</v>
      </c>
      <c r="I14" s="116">
        <f>VLOOKUP($A14,'розг. оцінка'!$CF:$CX,5,FALSE)</f>
        <v>113</v>
      </c>
      <c r="J14" s="116">
        <f>VLOOKUP($A14,'розг. оцінка'!$CF:$CX,6,FALSE)</f>
        <v>107</v>
      </c>
      <c r="K14" s="116">
        <f>VLOOKUP($A14,'розг. оцінка'!$CF:$CX,7,FALSE)</f>
        <v>0</v>
      </c>
      <c r="L14" s="162">
        <f>SUM(H14:K14)/3</f>
        <v>112.33333333333333</v>
      </c>
      <c r="M14" s="116">
        <f>VLOOKUP($A7,реєстрація!$A$1:$DJ$16,10,FALSE)</f>
        <v>3</v>
      </c>
      <c r="N14" s="178">
        <v>1.4</v>
      </c>
      <c r="O14" s="178">
        <f>(L14+M14)*N14</f>
        <v>161.46666666666664</v>
      </c>
      <c r="P14" s="130">
        <f>IF(B14="Запорізька",3,IF(B14="Хмельницька",7,IF(B14="Кіровоградська",4,IF(B14="Миколаївська",5,IF(B14="Дніпропетровська",1,IF(B14="Закарпатська",2,IF(B14="Сумська",6)))))))</f>
        <v>5</v>
      </c>
      <c r="Q14" s="162">
        <f>O14</f>
        <v>161.46666666666664</v>
      </c>
      <c r="R14" s="162">
        <f>SUM(L14,M14)</f>
        <v>115.33333333333333</v>
      </c>
      <c r="S14" s="131" t="s">
        <v>133</v>
      </c>
      <c r="V14" s="36"/>
    </row>
    <row r="15" spans="1:22" ht="30.75" customHeight="1" thickBot="1">
      <c r="A15" s="163" t="s">
        <v>192</v>
      </c>
      <c r="B15" s="164" t="str">
        <f>VLOOKUP($A15,реєстрація!$A$1:$D$16,2,FALSE)</f>
        <v>Запорізька</v>
      </c>
      <c r="C15" s="164" t="str">
        <f>VLOOKUP($A15,реєстрація!$A$1:$D$16,3,FALSE)</f>
        <v>КЗ "Центр туризму" ЗОР</v>
      </c>
      <c r="D15" s="165" t="str">
        <f>VLOOKUP($A15,реєстрація!$A$1:$D$16,4,FALSE)</f>
        <v>Некрасов Сергій Андрійович</v>
      </c>
      <c r="E15" s="166" t="str">
        <f>VLOOKUP($A15,реєстрація!$A$1:$DJ$16,5,FALSE)</f>
        <v>пішохідний </v>
      </c>
      <c r="F15" s="165" t="str">
        <f>VLOOKUP($A15,реєстрація!$A$1:$DJ$16,7,FALSE)</f>
        <v>Карпати</v>
      </c>
      <c r="G15" s="165">
        <f>VLOOKUP($A15,реєстрація!$A$1:$DJ$16,8,FALSE)</f>
        <v>6</v>
      </c>
      <c r="H15" s="165">
        <f>VLOOKUP($A15,'розг. оцінка'!$CF:$CX,4,FALSE)</f>
        <v>91</v>
      </c>
      <c r="I15" s="165">
        <f>VLOOKUP($A15,'розг. оцінка'!$CF:$CX,5,FALSE)</f>
        <v>104</v>
      </c>
      <c r="J15" s="165">
        <f>VLOOKUP($A15,'розг. оцінка'!$CF:$CX,6,FALSE)</f>
        <v>102</v>
      </c>
      <c r="K15" s="165">
        <f>VLOOKUP($A15,'розг. оцінка'!$CF:$CX,7,FALSE)</f>
        <v>0</v>
      </c>
      <c r="L15" s="168">
        <f>SUM(H15:K15)/3</f>
        <v>99</v>
      </c>
      <c r="M15" s="165">
        <f>VLOOKUP($A8,реєстрація!$A$1:$DJ$16,10,FALSE)</f>
        <v>3</v>
      </c>
      <c r="N15" s="180">
        <v>1.4</v>
      </c>
      <c r="O15" s="180">
        <f>(L15+M15)*N15</f>
        <v>142.79999999999998</v>
      </c>
      <c r="P15" s="167">
        <f>IF(B15="Запорізька",3,IF(B15="Хмельницька",7,IF(B15="Кіровоградська",4,IF(B15="Миколаївська",5,IF(B15="Дніпропетровська",1,IF(B15="Закарпатська",2,IF(B15="Сумська",6)))))))</f>
        <v>3</v>
      </c>
      <c r="Q15" s="168">
        <f>O15</f>
        <v>142.79999999999998</v>
      </c>
      <c r="R15" s="168">
        <f>SUM(L15,M15)</f>
        <v>102</v>
      </c>
      <c r="S15" s="169" t="s">
        <v>239</v>
      </c>
      <c r="V15" s="36"/>
    </row>
    <row r="16" spans="1:22" ht="18" customHeight="1" thickBot="1">
      <c r="A16" s="33" t="s">
        <v>214</v>
      </c>
      <c r="B16" s="155"/>
      <c r="C16" s="156"/>
      <c r="D16" s="38"/>
      <c r="E16" s="61"/>
      <c r="F16" s="38"/>
      <c r="G16" s="157">
        <f>SUM(G17:G20)</f>
        <v>40</v>
      </c>
      <c r="H16" s="38"/>
      <c r="I16" s="38"/>
      <c r="J16" s="38"/>
      <c r="K16" s="38"/>
      <c r="L16" s="158"/>
      <c r="M16" s="38"/>
      <c r="N16" s="38"/>
      <c r="O16" s="39"/>
      <c r="P16" s="35"/>
      <c r="Q16" s="35"/>
      <c r="R16" s="34"/>
      <c r="S16" s="35" t="s">
        <v>107</v>
      </c>
      <c r="V16" s="36"/>
    </row>
    <row r="17" spans="1:22" ht="44.25" customHeight="1">
      <c r="A17" s="159" t="s">
        <v>183</v>
      </c>
      <c r="B17" s="160" t="str">
        <f>VLOOKUP($A17,реєстрація!$A$1:$D$16,2,FALSE)</f>
        <v>Хмельницька</v>
      </c>
      <c r="C17" s="160" t="str">
        <f>VLOOKUP($A17,реєстрація!$A$1:$D$16,3,FALSE)</f>
        <v>Кам'янець-Подільський міський осередок Федераціїспортивного туризму України</v>
      </c>
      <c r="D17" s="116" t="str">
        <f>VLOOKUP($A17,реєстрація!$A$1:$D$16,4,FALSE)</f>
        <v>Логуш Ірина Михайлівна</v>
      </c>
      <c r="E17" s="161" t="str">
        <f>VLOOKUP($A17,реєстрація!$A$1:$DJ$16,5,FALSE)</f>
        <v>водний</v>
      </c>
      <c r="F17" s="116" t="str">
        <f>VLOOKUP($A17,реєстрація!$A$1:$DJ$16,7,FALSE)</f>
        <v>р.р.Серет, Дністер</v>
      </c>
      <c r="G17" s="116">
        <f>VLOOKUP($A17,реєстрація!$A$1:$DJ$16,8,FALSE)</f>
        <v>12</v>
      </c>
      <c r="H17" s="116">
        <f>VLOOKUP($A17,'розг. оцінка'!$CF:$CX,4,FALSE)</f>
        <v>99</v>
      </c>
      <c r="I17" s="116">
        <f>VLOOKUP($A17,'розг. оцінка'!$CF:$CX,5,FALSE)</f>
        <v>98</v>
      </c>
      <c r="J17" s="116">
        <f>VLOOKUP($A17,'розг. оцінка'!$CF:$CX,6,FALSE)</f>
        <v>100</v>
      </c>
      <c r="K17" s="116">
        <f>VLOOKUP($A17,'розг. оцінка'!$CF:$CX,7,FALSE)</f>
        <v>0</v>
      </c>
      <c r="L17" s="162">
        <f>SUM(H17:K17)/3</f>
        <v>99</v>
      </c>
      <c r="M17" s="116">
        <f>VLOOKUP($A7,реєстрація!$A$1:$DJ$16,10,FALSE)</f>
        <v>3</v>
      </c>
      <c r="N17" s="116">
        <v>1</v>
      </c>
      <c r="O17" s="178">
        <f>(L17+M17)*N17</f>
        <v>102</v>
      </c>
      <c r="P17" s="130">
        <f>IF(B17="Запорізька",3,IF(B17="Хмельницька",7,IF(B17="Кіровоградська",4,IF(B17="Миколаївська",5,IF(B17="Дніпропетровська",1,IF(B17="Закарпатська",2,IF(B17="Сумська",6)))))))</f>
        <v>7</v>
      </c>
      <c r="Q17" s="162">
        <f>O17</f>
        <v>102</v>
      </c>
      <c r="R17" s="162">
        <f>SUM(L17,M17)</f>
        <v>102</v>
      </c>
      <c r="S17" s="131" t="s">
        <v>133</v>
      </c>
      <c r="V17" s="36"/>
    </row>
    <row r="18" spans="1:22" ht="30.75" customHeight="1">
      <c r="A18" s="179" t="s">
        <v>187</v>
      </c>
      <c r="B18" s="113" t="str">
        <f>VLOOKUP($A18,реєстрація!$A$1:$D$16,2,FALSE)</f>
        <v>Запорізька</v>
      </c>
      <c r="C18" s="113" t="str">
        <f>VLOOKUP($A18,реєстрація!$A$1:$D$16,3,FALSE)</f>
        <v>КЗ "Центр туризму" ЗОР</v>
      </c>
      <c r="D18" s="76" t="str">
        <f>VLOOKUP($A18,реєстрація!$A$1:$D$16,4,FALSE)</f>
        <v>Некрасов Сергій Андрійович</v>
      </c>
      <c r="E18" s="72" t="str">
        <f>VLOOKUP($A18,реєстрація!$A$1:$DJ$16,5,FALSE)</f>
        <v>водний</v>
      </c>
      <c r="F18" s="76" t="str">
        <f>VLOOKUP($A18,реєстрація!$A$1:$DJ$16,7,FALSE)</f>
        <v>р.Орель</v>
      </c>
      <c r="G18" s="76">
        <f>VLOOKUP($A18,реєстрація!$A$1:$DJ$16,8,FALSE)</f>
        <v>8</v>
      </c>
      <c r="H18" s="76">
        <f>VLOOKUP($A18,'розг. оцінка'!$CF:$CX,4,FALSE)</f>
        <v>98</v>
      </c>
      <c r="I18" s="76">
        <f>VLOOKUP($A18,'розг. оцінка'!$CF:$CX,5,FALSE)</f>
        <v>87</v>
      </c>
      <c r="J18" s="76">
        <f>VLOOKUP($A18,'розг. оцінка'!$CF:$CX,6,FALSE)</f>
        <v>95</v>
      </c>
      <c r="K18" s="76">
        <f>VLOOKUP($A18,'розг. оцінка'!$CF:$CX,7,FALSE)</f>
        <v>0</v>
      </c>
      <c r="L18" s="114">
        <f>SUM(H18:K18)/3</f>
        <v>93.33333333333333</v>
      </c>
      <c r="M18" s="76">
        <f>VLOOKUP(A18,реєстрація!$A$1:$DJ$16,10,FALSE)</f>
        <v>3</v>
      </c>
      <c r="N18" s="76">
        <v>1</v>
      </c>
      <c r="O18" s="115">
        <f>(L18+M18)*N18</f>
        <v>96.33333333333333</v>
      </c>
      <c r="P18" s="26">
        <f>IF(B18="Запорізька",3,IF(B18="Хмельницька",7,IF(B18="Кіровоградська",4,IF(B18="Миколаївська",5,IF(B18="Дніпропетровська",1,IF(B18="Закарпатська",2,IF(B18="Сумська",6)))))))</f>
        <v>3</v>
      </c>
      <c r="Q18" s="114">
        <f>O18</f>
        <v>96.33333333333333</v>
      </c>
      <c r="R18" s="114">
        <f>SUM(L18,M18)</f>
        <v>96.33333333333333</v>
      </c>
      <c r="S18" s="132" t="s">
        <v>239</v>
      </c>
      <c r="V18" s="36"/>
    </row>
    <row r="19" spans="1:22" ht="47.25" customHeight="1">
      <c r="A19" s="179" t="s">
        <v>178</v>
      </c>
      <c r="B19" s="113" t="str">
        <f>VLOOKUP($A19,реєстрація!$A$1:$D$16,2,FALSE)</f>
        <v>Кіровоградська</v>
      </c>
      <c r="C19" s="113" t="str">
        <f>VLOOKUP($A19,реєстрація!$A$1:$D$16,3,FALSE)</f>
        <v>Кіровоградський державний педагогічний університет ім.В.Вінниченка</v>
      </c>
      <c r="D19" s="76" t="str">
        <f>VLOOKUP($A19,реєстрація!$A$1:$D$16,4,FALSE)</f>
        <v>Домаранський Андрій Олександрович</v>
      </c>
      <c r="E19" s="72" t="str">
        <f>VLOOKUP($A19,реєстрація!$A$1:$DJ$16,5,FALSE)</f>
        <v>водний</v>
      </c>
      <c r="F19" s="76" t="str">
        <f>VLOOKUP($A19,реєстрація!$A$1:$DJ$16,7,FALSE)</f>
        <v>р. П.Буг</v>
      </c>
      <c r="G19" s="76">
        <f>VLOOKUP($A19,реєстрація!$A$1:$DJ$16,8,FALSE)</f>
        <v>12</v>
      </c>
      <c r="H19" s="76">
        <f>VLOOKUP($A19,'розг. оцінка'!$CF:$CX,4,FALSE)</f>
        <v>101</v>
      </c>
      <c r="I19" s="76">
        <f>VLOOKUP($A19,'розг. оцінка'!$CF:$CX,5,FALSE)</f>
        <v>94</v>
      </c>
      <c r="J19" s="76">
        <f>VLOOKUP($A19,'розг. оцінка'!$CF:$CX,6,FALSE)</f>
        <v>82</v>
      </c>
      <c r="K19" s="76">
        <f>VLOOKUP($A19,'розг. оцінка'!$CF:$CX,7,FALSE)</f>
        <v>0</v>
      </c>
      <c r="L19" s="114">
        <f>SUM(H19:K19)/3</f>
        <v>92.33333333333333</v>
      </c>
      <c r="M19" s="76">
        <f>VLOOKUP(A19,реєстрація!$A$1:$DJ$16,10,FALSE)</f>
        <v>3</v>
      </c>
      <c r="N19" s="76">
        <v>1</v>
      </c>
      <c r="O19" s="115">
        <f>(L19+M19)*N19</f>
        <v>95.33333333333333</v>
      </c>
      <c r="P19" s="26">
        <f>IF(B19="Запорізька",3,IF(B19="Хмельницька",7,IF(B19="Кіровоградська",4,IF(B19="Миколаївська",5,IF(B19="Дніпропетровська",1,IF(B19="Закарпатська",2,IF(B19="Сумська",6)))))))</f>
        <v>4</v>
      </c>
      <c r="Q19" s="114">
        <f>O19</f>
        <v>95.33333333333333</v>
      </c>
      <c r="R19" s="114">
        <f>SUM(L19,M19)</f>
        <v>95.33333333333333</v>
      </c>
      <c r="S19" s="132" t="s">
        <v>240</v>
      </c>
      <c r="V19" s="36"/>
    </row>
    <row r="20" spans="1:22" ht="48" customHeight="1" thickBot="1">
      <c r="A20" s="163" t="s">
        <v>186</v>
      </c>
      <c r="B20" s="164" t="str">
        <f>VLOOKUP($A20,реєстрація!$A$1:$D$16,2,FALSE)</f>
        <v>Закарпатська</v>
      </c>
      <c r="C20" s="164" t="str">
        <f>VLOOKUP($A20,реєстрація!$A$1:$D$16,3,FALSE)</f>
        <v>Закарпатський  центр туризму,краєзнавства,екскурсій та спорту учнівської молоді</v>
      </c>
      <c r="D20" s="165" t="str">
        <f>VLOOKUP($A20,реєстрація!$A$1:$D$16,4,FALSE)</f>
        <v>Свирид Дмитро Володимирович </v>
      </c>
      <c r="E20" s="166" t="str">
        <f>VLOOKUP($A20,реєстрація!$A$1:$DJ$16,5,FALSE)</f>
        <v>водний</v>
      </c>
      <c r="F20" s="165" t="str">
        <f>VLOOKUP($A20,реєстрація!$A$1:$DJ$16,7,FALSE)</f>
        <v>р.р.Тиса, Ч.Тиса</v>
      </c>
      <c r="G20" s="165">
        <f>VLOOKUP($A20,реєстрація!$A$1:$DJ$16,8,FALSE)</f>
        <v>8</v>
      </c>
      <c r="H20" s="165">
        <f>VLOOKUP($A20,'розг. оцінка'!$CF:$CX,4,FALSE)</f>
        <v>98</v>
      </c>
      <c r="I20" s="165">
        <f>VLOOKUP($A20,'розг. оцінка'!$CF:$CX,5,FALSE)</f>
        <v>81</v>
      </c>
      <c r="J20" s="165">
        <f>VLOOKUP($A20,'розг. оцінка'!$CF:$CX,6,FALSE)</f>
        <v>80</v>
      </c>
      <c r="K20" s="165">
        <f>VLOOKUP($A20,'розг. оцінка'!$CF:$CX,7,FALSE)</f>
        <v>0</v>
      </c>
      <c r="L20" s="168">
        <f>SUM(H20:K20)/3</f>
        <v>86.33333333333333</v>
      </c>
      <c r="M20" s="165">
        <f>VLOOKUP(A20,реєстрація!$A$1:$DJ$16,10,FALSE)</f>
        <v>3</v>
      </c>
      <c r="N20" s="165">
        <v>1</v>
      </c>
      <c r="O20" s="180">
        <f>(L20+M20)*N20</f>
        <v>89.33333333333333</v>
      </c>
      <c r="P20" s="167">
        <f>IF(B20="Запорізька",3,IF(B20="Хмельницька",7,IF(B20="Кіровоградська",4,IF(B20="Миколаївська",5,IF(B20="Дніпропетровська",1,IF(B20="Закарпатська",2,IF(B20="Сумська",6)))))))</f>
        <v>2</v>
      </c>
      <c r="Q20" s="168">
        <f>O20</f>
        <v>89.33333333333333</v>
      </c>
      <c r="R20" s="168">
        <f>SUM(L20,M20)</f>
        <v>89.33333333333333</v>
      </c>
      <c r="S20" s="169">
        <v>4</v>
      </c>
      <c r="V20" s="36"/>
    </row>
    <row r="21" spans="1:22" ht="17.25" customHeight="1" thickBot="1">
      <c r="A21" s="33" t="s">
        <v>215</v>
      </c>
      <c r="B21" s="155"/>
      <c r="C21" s="156"/>
      <c r="D21" s="38"/>
      <c r="E21" s="61"/>
      <c r="F21" s="38"/>
      <c r="G21" s="157">
        <f>SUM(G22:G22)</f>
        <v>8</v>
      </c>
      <c r="H21" s="38"/>
      <c r="I21" s="38"/>
      <c r="J21" s="38"/>
      <c r="K21" s="38"/>
      <c r="L21" s="158"/>
      <c r="M21" s="38"/>
      <c r="N21" s="38"/>
      <c r="O21" s="39"/>
      <c r="P21" s="35"/>
      <c r="Q21" s="35"/>
      <c r="R21" s="34"/>
      <c r="S21" s="35" t="s">
        <v>107</v>
      </c>
      <c r="V21" s="36"/>
    </row>
    <row r="22" spans="1:22" ht="49.5" customHeight="1" thickBot="1">
      <c r="A22" s="170" t="s">
        <v>191</v>
      </c>
      <c r="B22" s="171" t="str">
        <f>VLOOKUP($A22,реєстрація!$A$1:$D$16,2,FALSE)</f>
        <v>Запорізька</v>
      </c>
      <c r="C22" s="171" t="str">
        <f>VLOOKUP($A22,реєстрація!$A$1:$D$16,3,FALSE)</f>
        <v>КЗ "Запорізький обласний центр туризму і краєзнавства,спорту та екскурсій учнівської молоді"</v>
      </c>
      <c r="D22" s="172" t="str">
        <f>VLOOKUP($A22,реєстрація!$A$1:$D$16,4,FALSE)</f>
        <v>Кроль Владислав Володимирович</v>
      </c>
      <c r="E22" s="173" t="str">
        <f>VLOOKUP($A22,реєстрація!$A$1:$DJ$16,5,FALSE)</f>
        <v>водний</v>
      </c>
      <c r="F22" s="172" t="str">
        <f>VLOOKUP($A22,реєстрація!$A$1:$DJ$16,7,FALSE)</f>
        <v>р. П.Буг</v>
      </c>
      <c r="G22" s="172">
        <f>VLOOKUP($A22,реєстрація!$A$1:$DJ$16,8,FALSE)</f>
        <v>8</v>
      </c>
      <c r="H22" s="172">
        <f>VLOOKUP($A22,'розг. оцінка'!$CF:$CX,4,FALSE)</f>
        <v>97</v>
      </c>
      <c r="I22" s="172">
        <f>VLOOKUP($A22,'розг. оцінка'!$CF:$CX,5,FALSE)</f>
        <v>103</v>
      </c>
      <c r="J22" s="172">
        <f>VLOOKUP($A22,'розг. оцінка'!$CF:$CX,6,FALSE)</f>
        <v>105</v>
      </c>
      <c r="K22" s="172">
        <f>VLOOKUP($A22,'розг. оцінка'!$CF:$CX,7,FALSE)</f>
        <v>0</v>
      </c>
      <c r="L22" s="174">
        <f>SUM(H22:K22)/3</f>
        <v>101.66666666666667</v>
      </c>
      <c r="M22" s="172">
        <f>VLOOKUP($A7,реєстрація!$A$1:$DJ$16,10,FALSE)</f>
        <v>3</v>
      </c>
      <c r="N22" s="176">
        <v>1.2</v>
      </c>
      <c r="O22" s="176">
        <f>(L22+M22)*N22</f>
        <v>125.6</v>
      </c>
      <c r="P22" s="175">
        <f>IF(B22="Запорізька",3,IF(B22="Хмельницька",7,IF(B22="Кіровоградська",4,IF(B22="Миколаївська",5,IF(B22="Дніпропетровська",1,IF(B22="Закарпатська",2,IF(B22="Сумська",6)))))))</f>
        <v>3</v>
      </c>
      <c r="Q22" s="174">
        <f>O22</f>
        <v>125.6</v>
      </c>
      <c r="R22" s="174">
        <f>SUM(L22,M22)</f>
        <v>104.66666666666667</v>
      </c>
      <c r="S22" s="181" t="s">
        <v>133</v>
      </c>
      <c r="V22" s="36"/>
    </row>
    <row r="23" spans="1:22" ht="16.5" customHeight="1" thickBot="1">
      <c r="A23" s="33" t="s">
        <v>108</v>
      </c>
      <c r="B23" s="155"/>
      <c r="C23" s="156"/>
      <c r="D23" s="38"/>
      <c r="E23" s="61"/>
      <c r="F23" s="38"/>
      <c r="G23" s="177">
        <f>SUM(G24:G24)</f>
        <v>8</v>
      </c>
      <c r="H23" s="38"/>
      <c r="I23" s="38"/>
      <c r="J23" s="38"/>
      <c r="K23" s="38"/>
      <c r="L23" s="158"/>
      <c r="M23" s="38"/>
      <c r="N23" s="38"/>
      <c r="O23" s="39"/>
      <c r="P23" s="35"/>
      <c r="Q23" s="35"/>
      <c r="R23" s="34"/>
      <c r="S23" s="35" t="s">
        <v>107</v>
      </c>
      <c r="V23" s="36"/>
    </row>
    <row r="24" spans="1:22" ht="39.75" customHeight="1" thickBot="1">
      <c r="A24" s="170" t="s">
        <v>185</v>
      </c>
      <c r="B24" s="171" t="str">
        <f>VLOOKUP($A24,реєстрація!$A$1:$D$16,2,FALSE)</f>
        <v>Миколаївська</v>
      </c>
      <c r="C24" s="171" t="str">
        <f>VLOOKUP($A24,реєстрація!$A$1:$D$16,3,FALSE)</f>
        <v>Центр туризму,краєзнавства та екскурсій учнівської молоді</v>
      </c>
      <c r="D24" s="172" t="str">
        <f>VLOOKUP($A24,реєстрація!$A$1:$D$16,4,FALSE)</f>
        <v>Трощенко Володимир Олександрович</v>
      </c>
      <c r="E24" s="173" t="str">
        <f>VLOOKUP($A24,реєстрація!$A$1:$DJ$16,5,FALSE)</f>
        <v>велосипедний</v>
      </c>
      <c r="F24" s="172" t="str">
        <f>VLOOKUP($A24,реєстрація!$A$1:$DJ$16,7,FALSE)</f>
        <v>Миколаївська обл.</v>
      </c>
      <c r="G24" s="172">
        <f>VLOOKUP($A24,реєстрація!$A$1:$DJ$16,8,FALSE)</f>
        <v>8</v>
      </c>
      <c r="H24" s="172">
        <f>VLOOKUP($A24,'розг. оцінка'!$CF:$CX,4,FALSE)</f>
        <v>93</v>
      </c>
      <c r="I24" s="172">
        <f>VLOOKUP($A24,'розг. оцінка'!$CF:$CX,5,FALSE)</f>
        <v>106</v>
      </c>
      <c r="J24" s="172">
        <f>VLOOKUP($A24,'розг. оцінка'!$CF:$CX,6,FALSE)</f>
        <v>0</v>
      </c>
      <c r="K24" s="172">
        <f>VLOOKUP($A24,'розг. оцінка'!$CF:$CX,7,FALSE)</f>
        <v>0</v>
      </c>
      <c r="L24" s="174">
        <f>SUM(H24:K24)/2</f>
        <v>99.5</v>
      </c>
      <c r="M24" s="172">
        <f>VLOOKUP($A7,реєстрація!$A$1:$DJ$16,10,FALSE)</f>
        <v>3</v>
      </c>
      <c r="N24" s="182">
        <v>1</v>
      </c>
      <c r="O24" s="176">
        <f>(L24+M24)*N24</f>
        <v>102.5</v>
      </c>
      <c r="P24" s="175">
        <f>IF(B24="Запорізька",3,IF(B24="Хмельницька",7,IF(B24="Кіровоградська",4,IF(B24="Миколаївська",5,IF(B24="Дніпропетровська",1,IF(B24="Закарпатська",2,IF(B24="Сумська",6)))))))</f>
        <v>5</v>
      </c>
      <c r="Q24" s="174">
        <f>O24</f>
        <v>102.5</v>
      </c>
      <c r="R24" s="174">
        <f>SUM(L24,M24)</f>
        <v>102.5</v>
      </c>
      <c r="S24" s="181" t="s">
        <v>133</v>
      </c>
      <c r="V24" s="36"/>
    </row>
    <row r="25" spans="1:22" ht="15.75" customHeight="1" thickBot="1">
      <c r="A25" s="33" t="s">
        <v>218</v>
      </c>
      <c r="B25" s="155"/>
      <c r="C25" s="156"/>
      <c r="D25" s="38"/>
      <c r="E25" s="61"/>
      <c r="F25" s="38"/>
      <c r="G25" s="177">
        <f>SUM(G26:G26)</f>
        <v>4</v>
      </c>
      <c r="H25" s="38"/>
      <c r="I25" s="38"/>
      <c r="J25" s="38"/>
      <c r="K25" s="38"/>
      <c r="L25" s="158"/>
      <c r="M25" s="38"/>
      <c r="N25" s="38"/>
      <c r="O25" s="39"/>
      <c r="P25" s="35"/>
      <c r="Q25" s="35"/>
      <c r="R25" s="34"/>
      <c r="S25" s="35" t="s">
        <v>107</v>
      </c>
      <c r="V25" s="36"/>
    </row>
    <row r="26" spans="1:22" ht="38.25" customHeight="1" thickBot="1">
      <c r="A26" s="170" t="s">
        <v>180</v>
      </c>
      <c r="B26" s="171" t="str">
        <f>VLOOKUP($A26,реєстрація!$A$1:$D$16,2,FALSE)</f>
        <v>Дніпропетровська</v>
      </c>
      <c r="C26" s="171" t="str">
        <f>VLOOKUP($A26,реєстрація!$A$1:$D$16,3,FALSE)</f>
        <v>КЗ "Навчально-виховний комплекс № 6 "Перспектива" м.Жовті Води</v>
      </c>
      <c r="D26" s="172" t="str">
        <f>VLOOKUP($A26,реєстрація!$A$1:$D$16,4,FALSE)</f>
        <v>Полохін Володимир Геннадійович</v>
      </c>
      <c r="E26" s="173" t="str">
        <f>VLOOKUP($A26,реєстрація!$A$1:$DJ$16,5,FALSE)</f>
        <v>авто-мото</v>
      </c>
      <c r="F26" s="172" t="str">
        <f>VLOOKUP($A26,реєстрація!$A$1:$DJ$16,7,FALSE)</f>
        <v>Дніпропетровська обл.</v>
      </c>
      <c r="G26" s="172">
        <f>VLOOKUP($A26,реєстрація!$A$1:$DJ$16,8,FALSE)</f>
        <v>4</v>
      </c>
      <c r="H26" s="172">
        <f>VLOOKUP($A26,'розг. оцінка'!$CF:$CX,4,FALSE)</f>
        <v>93</v>
      </c>
      <c r="I26" s="172">
        <f>VLOOKUP($A26,'розг. оцінка'!$CF:$CX,5,FALSE)</f>
        <v>99</v>
      </c>
      <c r="J26" s="172">
        <f>VLOOKUP($A26,'розг. оцінка'!$CF:$CX,6,FALSE)</f>
        <v>0</v>
      </c>
      <c r="K26" s="172">
        <f>VLOOKUP($A26,'розг. оцінка'!$CF:$CX,7,FALSE)</f>
        <v>0</v>
      </c>
      <c r="L26" s="174">
        <f>SUM(H26:K26)/2</f>
        <v>96</v>
      </c>
      <c r="M26" s="175">
        <f>VLOOKUP($A26,реєстрація!$A:$Z,10,FALSE)</f>
        <v>3</v>
      </c>
      <c r="N26" s="172">
        <v>1</v>
      </c>
      <c r="O26" s="176">
        <f>(L26+M26)*N26</f>
        <v>99</v>
      </c>
      <c r="P26" s="175">
        <f>IF(B26="Запорізька",3,IF(B26="Хмельницька",7,IF(B26="Кіровоградська",4,IF(B26="Миколаївська",5,IF(B26="Дніпропетровська",1,IF(B26="Закарпатська",2,IF(B26="Сумська",6)))))))</f>
        <v>1</v>
      </c>
      <c r="Q26" s="174">
        <f>O26</f>
        <v>99</v>
      </c>
      <c r="R26" s="174">
        <f>SUM(L26,M26)</f>
        <v>99</v>
      </c>
      <c r="S26" s="181" t="s">
        <v>133</v>
      </c>
      <c r="V26" s="36"/>
    </row>
    <row r="27" spans="1:22" ht="19.5" customHeight="1" thickBot="1">
      <c r="A27" s="33" t="s">
        <v>217</v>
      </c>
      <c r="B27" s="155"/>
      <c r="C27" s="156"/>
      <c r="D27" s="38"/>
      <c r="E27" s="61"/>
      <c r="F27" s="38"/>
      <c r="G27" s="177">
        <f>SUM(G28:G28)</f>
        <v>13</v>
      </c>
      <c r="H27" s="38"/>
      <c r="I27" s="38"/>
      <c r="J27" s="38"/>
      <c r="K27" s="38"/>
      <c r="L27" s="158"/>
      <c r="M27" s="38"/>
      <c r="N27" s="38"/>
      <c r="O27" s="39"/>
      <c r="P27" s="35"/>
      <c r="Q27" s="35"/>
      <c r="R27" s="34"/>
      <c r="S27" s="35" t="s">
        <v>107</v>
      </c>
      <c r="V27" s="36"/>
    </row>
    <row r="28" spans="1:22" ht="36" customHeight="1" thickBot="1">
      <c r="A28" s="170" t="s">
        <v>189</v>
      </c>
      <c r="B28" s="171" t="str">
        <f>VLOOKUP($A28,реєстрація!$A$1:$D$16,2,FALSE)</f>
        <v>Запорізька</v>
      </c>
      <c r="C28" s="171" t="str">
        <f>VLOOKUP($A28,реєстрація!$A$1:$D$16,3,FALSE)</f>
        <v>КЗ "Центр туризму"ЗОР</v>
      </c>
      <c r="D28" s="172" t="str">
        <f>VLOOKUP($A28,реєстрація!$A$1:$D$16,4,FALSE)</f>
        <v>Третяченко Олександр Сергійович</v>
      </c>
      <c r="E28" s="173" t="str">
        <f>VLOOKUP($A28,реєстрація!$A$1:$DJ$16,5,FALSE)</f>
        <v>спелео</v>
      </c>
      <c r="F28" s="172" t="str">
        <f>VLOOKUP($A28,реєстрація!$A$1:$DJ$16,7,FALSE)</f>
        <v>Тернопільська обл.</v>
      </c>
      <c r="G28" s="172">
        <f>VLOOKUP($A28,реєстрація!$A$1:$DJ$16,8,FALSE)</f>
        <v>13</v>
      </c>
      <c r="H28" s="172">
        <f>VLOOKUP($A28,'розг. оцінка'!$CF:$CX,4,FALSE)</f>
        <v>93</v>
      </c>
      <c r="I28" s="172">
        <f>VLOOKUP($A28,'розг. оцінка'!$CF:$CX,5,FALSE)</f>
        <v>92</v>
      </c>
      <c r="J28" s="172">
        <f>VLOOKUP($A28,'розг. оцінка'!$CF:$CX,6,FALSE)</f>
        <v>94</v>
      </c>
      <c r="K28" s="172">
        <f>VLOOKUP($A28,'розг. оцінка'!$CF:$CX,7,FALSE)</f>
        <v>0</v>
      </c>
      <c r="L28" s="174">
        <f>SUM(H28:K28)/3</f>
        <v>93</v>
      </c>
      <c r="M28" s="175">
        <f>VLOOKUP($A28,реєстрація!$A:$Z,10,FALSE)</f>
        <v>3</v>
      </c>
      <c r="N28" s="172">
        <v>1</v>
      </c>
      <c r="O28" s="176">
        <f>(L28+M28)*N28</f>
        <v>96</v>
      </c>
      <c r="P28" s="175">
        <f>IF(B28="Запорізька",3,IF(B28="Хмельницька",7,IF(B28="Кіровоградська",4,IF(B28="Миколаївська",5,IF(B28="Дніпропетровська",1,IF(B28="Закарпатська",2,IF(B28="Сумська",6)))))))</f>
        <v>3</v>
      </c>
      <c r="Q28" s="174">
        <f>O28</f>
        <v>96</v>
      </c>
      <c r="R28" s="174">
        <f>SUM(L28,M28)</f>
        <v>96</v>
      </c>
      <c r="S28" s="181" t="s">
        <v>133</v>
      </c>
      <c r="V28" s="36"/>
    </row>
    <row r="29" spans="1:22" ht="26.25" customHeight="1">
      <c r="A29" s="35"/>
      <c r="B29" s="32"/>
      <c r="C29" s="32"/>
      <c r="D29" s="38"/>
      <c r="E29" s="38"/>
      <c r="F29" s="189" t="s">
        <v>134</v>
      </c>
      <c r="G29" s="38">
        <f>SUM(G6,G9,G13,G16,G21,G23,G25,G27)</f>
        <v>124</v>
      </c>
      <c r="H29" s="38"/>
      <c r="I29" s="38"/>
      <c r="J29" s="38"/>
      <c r="K29" s="38"/>
      <c r="L29" s="34"/>
      <c r="M29" s="38"/>
      <c r="N29" s="38"/>
      <c r="O29" s="39"/>
      <c r="P29" s="35"/>
      <c r="Q29" s="35"/>
      <c r="R29" s="34"/>
      <c r="S29" s="35"/>
      <c r="V29" s="36"/>
    </row>
    <row r="30" spans="3:11" ht="15" customHeight="1">
      <c r="C30" s="41" t="s">
        <v>109</v>
      </c>
      <c r="D30" s="192"/>
      <c r="E30" s="194"/>
      <c r="F30" s="192"/>
      <c r="G30" s="194" t="s">
        <v>110</v>
      </c>
      <c r="H30" s="194"/>
      <c r="I30" s="194"/>
      <c r="J30" s="194"/>
      <c r="K30" s="79"/>
    </row>
    <row r="31" spans="3:11" ht="15" customHeight="1">
      <c r="C31" s="41"/>
      <c r="D31" s="192"/>
      <c r="E31" s="194"/>
      <c r="F31" s="192"/>
      <c r="G31" s="194"/>
      <c r="H31" s="194"/>
      <c r="I31" s="194"/>
      <c r="J31" s="194"/>
      <c r="K31" s="79"/>
    </row>
    <row r="32" spans="3:11" ht="15" customHeight="1">
      <c r="C32" s="193" t="s">
        <v>111</v>
      </c>
      <c r="D32" s="192"/>
      <c r="E32" s="194"/>
      <c r="F32" s="192"/>
      <c r="G32" s="194" t="s">
        <v>241</v>
      </c>
      <c r="H32" s="194"/>
      <c r="I32" s="194"/>
      <c r="J32" s="194"/>
      <c r="K32" s="79"/>
    </row>
    <row r="33" spans="4:11" ht="15" customHeight="1">
      <c r="D33" s="112"/>
      <c r="E33" s="79"/>
      <c r="F33" s="111"/>
      <c r="G33" s="79"/>
      <c r="H33" s="79"/>
      <c r="I33" s="79"/>
      <c r="J33" s="79"/>
      <c r="K33" s="79"/>
    </row>
    <row r="34" spans="9:11" ht="12.75">
      <c r="I34" s="32"/>
      <c r="J34" s="32"/>
      <c r="K34" s="32"/>
    </row>
    <row r="35" spans="9:11" ht="12.75">
      <c r="I35" s="32"/>
      <c r="J35" s="32"/>
      <c r="K35" s="32"/>
    </row>
    <row r="36" spans="9:11" ht="12.75">
      <c r="I36" s="32"/>
      <c r="J36" s="32"/>
      <c r="K36" s="32"/>
    </row>
    <row r="37" spans="9:11" ht="12.75">
      <c r="I37" s="32"/>
      <c r="J37" s="32"/>
      <c r="K37" s="32"/>
    </row>
    <row r="38" spans="9:11" ht="9.75" customHeight="1">
      <c r="I38" s="32"/>
      <c r="J38" s="32"/>
      <c r="K38" s="32"/>
    </row>
    <row r="39" spans="9:11" ht="12.75" hidden="1">
      <c r="I39" s="32"/>
      <c r="J39" s="32"/>
      <c r="K39" s="32"/>
    </row>
    <row r="40" spans="9:11" ht="12.75" hidden="1">
      <c r="I40" s="32"/>
      <c r="J40" s="32"/>
      <c r="K40" s="32"/>
    </row>
    <row r="41" spans="9:11" ht="12.75" hidden="1">
      <c r="I41" s="32"/>
      <c r="J41" s="32"/>
      <c r="K41" s="32"/>
    </row>
    <row r="42" spans="9:11" ht="12.75" hidden="1">
      <c r="I42" s="32"/>
      <c r="J42" s="32"/>
      <c r="K42" s="32"/>
    </row>
    <row r="43" spans="9:11" ht="12.75" hidden="1">
      <c r="I43" s="32"/>
      <c r="J43" s="32"/>
      <c r="K43" s="32"/>
    </row>
    <row r="44" spans="9:11" ht="12.75" hidden="1">
      <c r="I44" s="32"/>
      <c r="J44" s="32"/>
      <c r="K44" s="32"/>
    </row>
    <row r="45" spans="9:11" ht="12.75" hidden="1">
      <c r="I45" s="32"/>
      <c r="J45" s="32"/>
      <c r="K45" s="32"/>
    </row>
    <row r="46" spans="9:11" ht="12.75" hidden="1">
      <c r="I46" s="32"/>
      <c r="J46" s="32"/>
      <c r="K46" s="32"/>
    </row>
    <row r="47" spans="9:11" ht="12.75" hidden="1">
      <c r="I47" s="32"/>
      <c r="J47" s="32"/>
      <c r="K47" s="32"/>
    </row>
    <row r="48" spans="9:11" ht="12.75" hidden="1">
      <c r="I48" s="32"/>
      <c r="J48" s="32"/>
      <c r="K48" s="32"/>
    </row>
    <row r="49" spans="9:11" ht="12.75" hidden="1">
      <c r="I49" s="32"/>
      <c r="J49" s="32"/>
      <c r="K49" s="32"/>
    </row>
    <row r="50" spans="9:11" ht="12.75" hidden="1">
      <c r="I50" s="32"/>
      <c r="J50" s="32"/>
      <c r="K50" s="32"/>
    </row>
    <row r="51" spans="9:11" ht="12.75" hidden="1">
      <c r="I51" s="32"/>
      <c r="J51" s="32"/>
      <c r="K51" s="32"/>
    </row>
    <row r="52" spans="9:11" ht="12.75" hidden="1">
      <c r="I52" s="32"/>
      <c r="J52" s="32"/>
      <c r="K52" s="32"/>
    </row>
    <row r="53" spans="9:11" ht="12.75" hidden="1">
      <c r="I53" s="32"/>
      <c r="J53" s="32"/>
      <c r="K53" s="32"/>
    </row>
    <row r="54" spans="9:11" ht="12.75" hidden="1">
      <c r="I54" s="32"/>
      <c r="J54" s="32"/>
      <c r="K54" s="32"/>
    </row>
    <row r="55" spans="9:11" ht="12.75" hidden="1">
      <c r="I55" s="32"/>
      <c r="J55" s="32"/>
      <c r="K55" s="32"/>
    </row>
    <row r="56" spans="9:11" ht="12.75" hidden="1">
      <c r="I56" s="32"/>
      <c r="J56" s="32"/>
      <c r="K56" s="32"/>
    </row>
    <row r="57" spans="9:11" ht="12.75" hidden="1">
      <c r="I57" s="32"/>
      <c r="J57" s="32"/>
      <c r="K57" s="32"/>
    </row>
    <row r="58" spans="9:11" ht="12.75" hidden="1">
      <c r="I58" s="32"/>
      <c r="J58" s="32"/>
      <c r="K58" s="32"/>
    </row>
    <row r="59" spans="9:11" ht="12.75" hidden="1">
      <c r="I59" s="32"/>
      <c r="J59" s="32"/>
      <c r="K59" s="32"/>
    </row>
    <row r="60" spans="9:11" ht="12.75" hidden="1">
      <c r="I60" s="32"/>
      <c r="J60" s="32"/>
      <c r="K60" s="32"/>
    </row>
    <row r="61" spans="9:11" ht="12.75" hidden="1">
      <c r="I61" s="32"/>
      <c r="J61" s="32"/>
      <c r="K61" s="32"/>
    </row>
    <row r="62" spans="9:11" ht="12.75" hidden="1">
      <c r="I62" s="32"/>
      <c r="J62" s="32"/>
      <c r="K62" s="32"/>
    </row>
    <row r="63" spans="9:11" ht="12.75" hidden="1">
      <c r="I63" s="32"/>
      <c r="J63" s="32"/>
      <c r="K63" s="32"/>
    </row>
    <row r="64" spans="9:11" ht="12.75" hidden="1">
      <c r="I64" s="32"/>
      <c r="J64" s="32"/>
      <c r="K64" s="32"/>
    </row>
    <row r="65" spans="9:11" ht="12.75">
      <c r="I65" s="32"/>
      <c r="J65" s="32"/>
      <c r="K65" s="32"/>
    </row>
    <row r="66" spans="9:11" ht="12.75">
      <c r="I66" s="32"/>
      <c r="J66" s="32"/>
      <c r="K66" s="32"/>
    </row>
    <row r="67" spans="9:11" ht="12.75">
      <c r="I67" s="32"/>
      <c r="J67" s="32"/>
      <c r="K67" s="32"/>
    </row>
    <row r="68" spans="9:11" ht="12.75">
      <c r="I68" s="32"/>
      <c r="J68" s="32"/>
      <c r="K68" s="32"/>
    </row>
    <row r="69" spans="9:11" ht="12.75">
      <c r="I69" s="32"/>
      <c r="J69" s="32"/>
      <c r="K69" s="32"/>
    </row>
    <row r="70" spans="9:11" ht="12.75">
      <c r="I70" s="32"/>
      <c r="J70" s="32"/>
      <c r="K70" s="32"/>
    </row>
    <row r="71" spans="9:11" ht="12.75">
      <c r="I71" s="32"/>
      <c r="J71" s="32"/>
      <c r="K71" s="32"/>
    </row>
    <row r="72" spans="9:11" ht="12.75">
      <c r="I72" s="32"/>
      <c r="J72" s="32"/>
      <c r="K72" s="32"/>
    </row>
    <row r="73" spans="9:11" ht="12.75">
      <c r="I73" s="32"/>
      <c r="J73" s="32"/>
      <c r="K73" s="32"/>
    </row>
    <row r="74" spans="9:11" ht="12.75">
      <c r="I74" s="32"/>
      <c r="J74" s="32"/>
      <c r="K74" s="32"/>
    </row>
    <row r="75" spans="9:11" ht="12.75">
      <c r="I75" s="32"/>
      <c r="J75" s="32"/>
      <c r="K75" s="32"/>
    </row>
    <row r="76" spans="9:11" ht="12.75">
      <c r="I76" s="32"/>
      <c r="J76" s="32"/>
      <c r="K76" s="32"/>
    </row>
    <row r="77" spans="9:11" ht="12.75">
      <c r="I77" s="32"/>
      <c r="J77" s="32"/>
      <c r="K77" s="32"/>
    </row>
    <row r="78" spans="9:11" ht="12.75">
      <c r="I78" s="32"/>
      <c r="J78" s="32"/>
      <c r="K78" s="32"/>
    </row>
    <row r="79" spans="9:11" ht="12.75">
      <c r="I79" s="32"/>
      <c r="J79" s="32"/>
      <c r="K79" s="32"/>
    </row>
    <row r="80" spans="9:11" ht="12.75">
      <c r="I80" s="32"/>
      <c r="J80" s="32"/>
      <c r="K80" s="32"/>
    </row>
    <row r="81" spans="9:11" ht="12.75">
      <c r="I81" s="32"/>
      <c r="J81" s="32"/>
      <c r="K81" s="32"/>
    </row>
    <row r="82" spans="9:11" ht="12.75">
      <c r="I82" s="32"/>
      <c r="J82" s="32"/>
      <c r="K82" s="32"/>
    </row>
    <row r="83" spans="9:11" ht="12.75">
      <c r="I83" s="32"/>
      <c r="J83" s="32"/>
      <c r="K83" s="32"/>
    </row>
    <row r="84" spans="9:11" ht="12.75">
      <c r="I84" s="32"/>
      <c r="J84" s="32"/>
      <c r="K84" s="32"/>
    </row>
    <row r="85" spans="9:11" ht="12.75">
      <c r="I85" s="32"/>
      <c r="J85" s="32"/>
      <c r="K85" s="32"/>
    </row>
    <row r="86" spans="9:11" ht="12.75">
      <c r="I86" s="32"/>
      <c r="J86" s="32"/>
      <c r="K86" s="32"/>
    </row>
    <row r="87" spans="9:11" ht="12.75">
      <c r="I87" s="32"/>
      <c r="J87" s="32"/>
      <c r="K87" s="32"/>
    </row>
    <row r="88" spans="8:12" ht="12.75">
      <c r="H88" s="31"/>
      <c r="I88" s="32"/>
      <c r="J88" s="32"/>
      <c r="K88" s="32"/>
      <c r="L88" s="31"/>
    </row>
    <row r="89" spans="8:12" ht="12.75">
      <c r="H89" s="31"/>
      <c r="I89" s="32"/>
      <c r="J89" s="32"/>
      <c r="K89" s="32"/>
      <c r="L89" s="31"/>
    </row>
    <row r="90" spans="8:12" ht="12.75">
      <c r="H90" s="31"/>
      <c r="I90" s="32"/>
      <c r="J90" s="32"/>
      <c r="K90" s="32"/>
      <c r="L90" s="31"/>
    </row>
    <row r="91" spans="8:12" ht="12.75">
      <c r="H91" s="31"/>
      <c r="I91" s="32"/>
      <c r="J91" s="32"/>
      <c r="K91" s="32"/>
      <c r="L91" s="31"/>
    </row>
    <row r="92" spans="8:12" ht="12.75">
      <c r="H92" s="31"/>
      <c r="I92" s="32"/>
      <c r="J92" s="32"/>
      <c r="K92" s="32"/>
      <c r="L92" s="31"/>
    </row>
    <row r="93" spans="8:12" ht="12.75">
      <c r="H93" s="31"/>
      <c r="I93" s="32"/>
      <c r="J93" s="32"/>
      <c r="K93" s="32"/>
      <c r="L93" s="31"/>
    </row>
    <row r="94" spans="8:12" ht="12.75">
      <c r="H94" s="31"/>
      <c r="I94" s="32"/>
      <c r="J94" s="32"/>
      <c r="K94" s="32"/>
      <c r="L94" s="31"/>
    </row>
    <row r="95" spans="8:12" ht="12.75">
      <c r="H95" s="31"/>
      <c r="I95" s="32"/>
      <c r="J95" s="32"/>
      <c r="K95" s="32"/>
      <c r="L95" s="31"/>
    </row>
    <row r="96" spans="8:12" ht="12.75">
      <c r="H96" s="31"/>
      <c r="I96" s="32"/>
      <c r="J96" s="32"/>
      <c r="K96" s="32"/>
      <c r="L96" s="31"/>
    </row>
    <row r="97" spans="8:12" ht="12.75">
      <c r="H97" s="31"/>
      <c r="I97" s="32"/>
      <c r="J97" s="32"/>
      <c r="K97" s="32"/>
      <c r="L97" s="31"/>
    </row>
    <row r="98" spans="8:12" ht="12.75">
      <c r="H98" s="31"/>
      <c r="I98" s="31"/>
      <c r="J98" s="31"/>
      <c r="K98" s="31"/>
      <c r="L98" s="31"/>
    </row>
    <row r="99" spans="8:12" ht="12.75">
      <c r="H99" s="31"/>
      <c r="I99" s="31"/>
      <c r="J99" s="31"/>
      <c r="K99" s="31"/>
      <c r="L99" s="31"/>
    </row>
    <row r="100" spans="8:12" ht="12.75">
      <c r="H100" s="31"/>
      <c r="I100" s="31"/>
      <c r="J100" s="31"/>
      <c r="K100" s="31"/>
      <c r="L100" s="31"/>
    </row>
    <row r="101" spans="8:12" ht="12.75">
      <c r="H101" s="31"/>
      <c r="I101" s="31"/>
      <c r="J101" s="31"/>
      <c r="K101" s="31"/>
      <c r="L101" s="31"/>
    </row>
    <row r="102" spans="8:12" ht="12.75">
      <c r="H102" s="31"/>
      <c r="I102" s="31"/>
      <c r="J102" s="31"/>
      <c r="K102" s="31"/>
      <c r="L102" s="31"/>
    </row>
    <row r="103" spans="8:12" ht="12.75">
      <c r="H103" s="31"/>
      <c r="I103" s="31"/>
      <c r="J103" s="31"/>
      <c r="K103" s="31"/>
      <c r="L103" s="31"/>
    </row>
    <row r="104" spans="8:12" ht="12.75">
      <c r="H104" s="31"/>
      <c r="I104" s="31"/>
      <c r="J104" s="31"/>
      <c r="K104" s="31"/>
      <c r="L104" s="31"/>
    </row>
    <row r="105" spans="8:12" ht="12.75">
      <c r="H105" s="31"/>
      <c r="I105" s="31"/>
      <c r="J105" s="31"/>
      <c r="K105" s="31"/>
      <c r="L105" s="31"/>
    </row>
    <row r="106" spans="8:12" ht="12.75">
      <c r="H106" s="31"/>
      <c r="I106" s="31"/>
      <c r="J106" s="31"/>
      <c r="K106" s="31"/>
      <c r="L106" s="31"/>
    </row>
    <row r="107" spans="8:12" ht="12.75">
      <c r="H107" s="31"/>
      <c r="I107" s="31"/>
      <c r="J107" s="31"/>
      <c r="K107" s="31"/>
      <c r="L107" s="31"/>
    </row>
    <row r="108" spans="8:12" ht="12.75">
      <c r="H108" s="31"/>
      <c r="I108" s="31"/>
      <c r="J108" s="31"/>
      <c r="K108" s="31"/>
      <c r="L108" s="31"/>
    </row>
    <row r="109" spans="8:12" ht="12.75">
      <c r="H109" s="31"/>
      <c r="I109" s="31"/>
      <c r="J109" s="31"/>
      <c r="K109" s="31"/>
      <c r="L109" s="31"/>
    </row>
    <row r="110" spans="8:12" ht="12.75">
      <c r="H110" s="31"/>
      <c r="I110" s="31"/>
      <c r="J110" s="31"/>
      <c r="K110" s="31"/>
      <c r="L110" s="31"/>
    </row>
    <row r="111" spans="8:12" ht="12.75">
      <c r="H111" s="31"/>
      <c r="I111" s="31"/>
      <c r="J111" s="31"/>
      <c r="K111" s="31"/>
      <c r="L111" s="31"/>
    </row>
    <row r="112" spans="8:12" ht="12.75">
      <c r="H112" s="31"/>
      <c r="I112" s="31"/>
      <c r="J112" s="31"/>
      <c r="K112" s="31"/>
      <c r="L112" s="31"/>
    </row>
    <row r="113" spans="8:12" ht="12.75">
      <c r="H113" s="31"/>
      <c r="I113" s="31"/>
      <c r="J113" s="31"/>
      <c r="K113" s="31"/>
      <c r="L113" s="31"/>
    </row>
  </sheetData>
  <sheetProtection/>
  <mergeCells count="4">
    <mergeCell ref="A1:S1"/>
    <mergeCell ref="A3:S3"/>
    <mergeCell ref="B4:C4"/>
    <mergeCell ref="A2:S2"/>
  </mergeCells>
  <printOptions/>
  <pageMargins left="0.5511811023622047" right="0.15748031496062992" top="0.1968503937007874" bottom="0.1968503937007874" header="0" footer="0"/>
  <pageSetup blackAndWhite="1" horizontalDpi="200" verticalDpi="2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Маша</dc:creator>
  <cp:keywords/>
  <dc:description/>
  <cp:lastModifiedBy>Алла</cp:lastModifiedBy>
  <cp:lastPrinted>2016-03-15T08:46:54Z</cp:lastPrinted>
  <dcterms:created xsi:type="dcterms:W3CDTF">2015-03-05T09:50:50Z</dcterms:created>
  <dcterms:modified xsi:type="dcterms:W3CDTF">2016-03-15T08:48:18Z</dcterms:modified>
  <cp:category/>
  <cp:version/>
  <cp:contentType/>
  <cp:contentStatus/>
</cp:coreProperties>
</file>